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9. 15 ก.ย. 67\"/>
    </mc:Choice>
  </mc:AlternateContent>
  <xr:revisionPtr revIDLastSave="0" documentId="13_ncr:1_{A62EF4CF-2B1A-48E6-B50E-88EE83496489}" xr6:coauthVersionLast="37" xr6:coauthVersionMax="37" xr10:uidLastSave="{00000000-0000-0000-0000-000000000000}"/>
  <bookViews>
    <workbookView xWindow="0" yWindow="0" windowWidth="24000" windowHeight="9225" tabRatio="892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79021"/>
</workbook>
</file>

<file path=xl/calcChain.xml><?xml version="1.0" encoding="utf-8"?>
<calcChain xmlns="http://schemas.openxmlformats.org/spreadsheetml/2006/main">
  <c r="A789" i="15" l="1"/>
  <c r="A788" i="15"/>
  <c r="J785" i="15"/>
  <c r="I785" i="15"/>
  <c r="J784" i="15"/>
  <c r="I784" i="15"/>
  <c r="K784" i="15" s="1"/>
  <c r="J783" i="15"/>
  <c r="I783" i="15"/>
  <c r="J782" i="15"/>
  <c r="I782" i="15"/>
  <c r="J781" i="15"/>
  <c r="I781" i="15"/>
  <c r="K781" i="15" s="1"/>
  <c r="J780" i="15"/>
  <c r="I780" i="15"/>
  <c r="J779" i="15"/>
  <c r="I779" i="15"/>
  <c r="J778" i="15"/>
  <c r="I778" i="15"/>
  <c r="K778" i="15" s="1"/>
  <c r="H777" i="15"/>
  <c r="I776" i="15"/>
  <c r="I775" i="15"/>
  <c r="I774" i="15"/>
  <c r="K774" i="15" s="1"/>
  <c r="I772" i="15"/>
  <c r="K772" i="15" s="1"/>
  <c r="I770" i="15"/>
  <c r="K770" i="15" s="1"/>
  <c r="U768" i="15"/>
  <c r="T768" i="15"/>
  <c r="P768" i="15"/>
  <c r="O768" i="15"/>
  <c r="U767" i="15"/>
  <c r="T767" i="15"/>
  <c r="P767" i="15"/>
  <c r="O767" i="15"/>
  <c r="U766" i="15"/>
  <c r="T766" i="15"/>
  <c r="S766" i="15"/>
  <c r="R766" i="15"/>
  <c r="Q766" i="15"/>
  <c r="O766" i="15"/>
  <c r="N766" i="15"/>
  <c r="M766" i="15"/>
  <c r="P766" i="15" s="1"/>
  <c r="L766" i="15"/>
  <c r="S765" i="15"/>
  <c r="S763" i="15" s="1"/>
  <c r="R765" i="15"/>
  <c r="R763" i="15" s="1"/>
  <c r="Q765" i="15"/>
  <c r="Q763" i="15" s="1"/>
  <c r="P765" i="15"/>
  <c r="O765" i="15"/>
  <c r="U764" i="15"/>
  <c r="T764" i="15"/>
  <c r="P764" i="15"/>
  <c r="O764" i="15"/>
  <c r="P763" i="15"/>
  <c r="N763" i="15"/>
  <c r="M763" i="15"/>
  <c r="L763" i="15"/>
  <c r="O763" i="15" s="1"/>
  <c r="P762" i="15"/>
  <c r="O762" i="15"/>
  <c r="N762" i="15"/>
  <c r="M762" i="15"/>
  <c r="L762" i="15"/>
  <c r="T761" i="15"/>
  <c r="S761" i="15"/>
  <c r="R761" i="15"/>
  <c r="U761" i="15" s="1"/>
  <c r="Q761" i="15"/>
  <c r="N761" i="15"/>
  <c r="N760" i="15" s="1"/>
  <c r="M761" i="15"/>
  <c r="M760" i="15" s="1"/>
  <c r="P760" i="15" s="1"/>
  <c r="L761" i="15"/>
  <c r="O761" i="15" s="1"/>
  <c r="L760" i="15"/>
  <c r="O760" i="15" s="1"/>
  <c r="J759" i="15"/>
  <c r="J758" i="15"/>
  <c r="I755" i="15"/>
  <c r="K755" i="15" s="1"/>
  <c r="I752" i="15"/>
  <c r="K752" i="15" s="1"/>
  <c r="I749" i="15"/>
  <c r="K749" i="15" s="1"/>
  <c r="I746" i="15"/>
  <c r="K746" i="15" s="1"/>
  <c r="I744" i="15"/>
  <c r="K744" i="15" s="1"/>
  <c r="I742" i="15"/>
  <c r="K742" i="15" s="1"/>
  <c r="I740" i="15"/>
  <c r="K740" i="15" s="1"/>
  <c r="U736" i="15"/>
  <c r="T736" i="15"/>
  <c r="P736" i="15"/>
  <c r="O736" i="15"/>
  <c r="U735" i="15"/>
  <c r="T735" i="15"/>
  <c r="P735" i="15"/>
  <c r="O735" i="15"/>
  <c r="T734" i="15"/>
  <c r="S734" i="15"/>
  <c r="R734" i="15"/>
  <c r="U734" i="15" s="1"/>
  <c r="Q734" i="15"/>
  <c r="N734" i="15"/>
  <c r="M734" i="15"/>
  <c r="P734" i="15" s="1"/>
  <c r="L734" i="15"/>
  <c r="O734" i="15" s="1"/>
  <c r="S733" i="15"/>
  <c r="S731" i="15" s="1"/>
  <c r="R733" i="15"/>
  <c r="R731" i="15" s="1"/>
  <c r="Q733" i="15"/>
  <c r="Q731" i="15" s="1"/>
  <c r="P733" i="15"/>
  <c r="O733" i="15"/>
  <c r="U732" i="15"/>
  <c r="T732" i="15"/>
  <c r="P732" i="15"/>
  <c r="O732" i="15"/>
  <c r="P731" i="15"/>
  <c r="O731" i="15"/>
  <c r="N731" i="15"/>
  <c r="M731" i="15"/>
  <c r="L731" i="15"/>
  <c r="O730" i="15"/>
  <c r="N730" i="15"/>
  <c r="N728" i="15" s="1"/>
  <c r="M730" i="15"/>
  <c r="P730" i="15" s="1"/>
  <c r="L730" i="15"/>
  <c r="S729" i="15"/>
  <c r="R729" i="15"/>
  <c r="Q729" i="15"/>
  <c r="T729" i="15" s="1"/>
  <c r="N729" i="15"/>
  <c r="M729" i="15"/>
  <c r="P729" i="15" s="1"/>
  <c r="L729" i="15"/>
  <c r="L728" i="15" s="1"/>
  <c r="O728" i="15" s="1"/>
  <c r="J727" i="15"/>
  <c r="I727" i="15"/>
  <c r="J726" i="15"/>
  <c r="I726" i="15"/>
  <c r="K726" i="15" s="1"/>
  <c r="U722" i="15"/>
  <c r="T722" i="15"/>
  <c r="P722" i="15"/>
  <c r="O722" i="15"/>
  <c r="U721" i="15"/>
  <c r="T721" i="15"/>
  <c r="P721" i="15"/>
  <c r="O721" i="15"/>
  <c r="U720" i="15"/>
  <c r="S720" i="15"/>
  <c r="R720" i="15"/>
  <c r="Q720" i="15"/>
  <c r="T720" i="15" s="1"/>
  <c r="P720" i="15"/>
  <c r="O720" i="15"/>
  <c r="N720" i="15"/>
  <c r="M720" i="15"/>
  <c r="L720" i="15"/>
  <c r="U719" i="15"/>
  <c r="T719" i="15"/>
  <c r="P719" i="15"/>
  <c r="O719" i="15"/>
  <c r="U718" i="15"/>
  <c r="T718" i="15"/>
  <c r="P718" i="15"/>
  <c r="O718" i="15"/>
  <c r="U717" i="15"/>
  <c r="S717" i="15"/>
  <c r="R717" i="15"/>
  <c r="Q717" i="15"/>
  <c r="T717" i="15" s="1"/>
  <c r="P717" i="15"/>
  <c r="O717" i="15"/>
  <c r="N717" i="15"/>
  <c r="M717" i="15"/>
  <c r="L717" i="15"/>
  <c r="U716" i="15"/>
  <c r="T716" i="15"/>
  <c r="S716" i="15"/>
  <c r="R716" i="15"/>
  <c r="Q716" i="15"/>
  <c r="O716" i="15"/>
  <c r="N716" i="15"/>
  <c r="N714" i="15" s="1"/>
  <c r="M716" i="15"/>
  <c r="P716" i="15" s="1"/>
  <c r="L716" i="15"/>
  <c r="S715" i="15"/>
  <c r="S714" i="15" s="1"/>
  <c r="R715" i="15"/>
  <c r="Q715" i="15"/>
  <c r="T715" i="15" s="1"/>
  <c r="N715" i="15"/>
  <c r="M715" i="15"/>
  <c r="L715" i="15"/>
  <c r="Q714" i="15"/>
  <c r="T714" i="15" s="1"/>
  <c r="K712" i="15"/>
  <c r="J712" i="15"/>
  <c r="K710" i="15"/>
  <c r="J710" i="15"/>
  <c r="J709" i="15"/>
  <c r="I709" i="15"/>
  <c r="K708" i="15"/>
  <c r="J708" i="15"/>
  <c r="J707" i="15"/>
  <c r="I707" i="15"/>
  <c r="K707" i="15" s="1"/>
  <c r="K706" i="15"/>
  <c r="J706" i="15"/>
  <c r="J705" i="15"/>
  <c r="I705" i="15"/>
  <c r="K704" i="15"/>
  <c r="J704" i="15"/>
  <c r="J703" i="15"/>
  <c r="I703" i="15"/>
  <c r="K703" i="15" s="1"/>
  <c r="K702" i="15"/>
  <c r="I700" i="15"/>
  <c r="K700" i="15" s="1"/>
  <c r="U698" i="15"/>
  <c r="T698" i="15"/>
  <c r="P698" i="15"/>
  <c r="O698" i="15"/>
  <c r="U697" i="15"/>
  <c r="T697" i="15"/>
  <c r="P697" i="15"/>
  <c r="O697" i="15"/>
  <c r="U696" i="15"/>
  <c r="T696" i="15"/>
  <c r="S696" i="15"/>
  <c r="R696" i="15"/>
  <c r="Q696" i="15"/>
  <c r="O696" i="15"/>
  <c r="N696" i="15"/>
  <c r="M696" i="15"/>
  <c r="P696" i="15" s="1"/>
  <c r="L696" i="15"/>
  <c r="S695" i="15"/>
  <c r="S692" i="15" s="1"/>
  <c r="R695" i="15"/>
  <c r="R693" i="15" s="1"/>
  <c r="Q695" i="15"/>
  <c r="P695" i="15"/>
  <c r="O695" i="15"/>
  <c r="U694" i="15"/>
  <c r="T694" i="15"/>
  <c r="P694" i="15"/>
  <c r="O694" i="15"/>
  <c r="N693" i="15"/>
  <c r="M693" i="15"/>
  <c r="P693" i="15" s="1"/>
  <c r="L693" i="15"/>
  <c r="O693" i="15" s="1"/>
  <c r="P692" i="15"/>
  <c r="O692" i="15"/>
  <c r="N692" i="15"/>
  <c r="M692" i="15"/>
  <c r="L692" i="15"/>
  <c r="T691" i="15"/>
  <c r="S691" i="15"/>
  <c r="R691" i="15"/>
  <c r="Q691" i="15"/>
  <c r="N691" i="15"/>
  <c r="M691" i="15"/>
  <c r="P691" i="15" s="1"/>
  <c r="L691" i="15"/>
  <c r="O691" i="15" s="1"/>
  <c r="S690" i="15"/>
  <c r="M690" i="15"/>
  <c r="P690" i="15" s="1"/>
  <c r="L690" i="15"/>
  <c r="O690" i="15" s="1"/>
  <c r="J682" i="15"/>
  <c r="I682" i="15"/>
  <c r="K682" i="15" s="1"/>
  <c r="J681" i="15"/>
  <c r="I681" i="15"/>
  <c r="K681" i="15" s="1"/>
  <c r="J680" i="15"/>
  <c r="J679" i="15"/>
  <c r="I679" i="15"/>
  <c r="K679" i="15" s="1"/>
  <c r="J678" i="15"/>
  <c r="I678" i="15"/>
  <c r="K678" i="15" s="1"/>
  <c r="J677" i="15"/>
  <c r="J676" i="15"/>
  <c r="I676" i="15"/>
  <c r="K676" i="15" s="1"/>
  <c r="I675" i="15"/>
  <c r="K675" i="15" s="1"/>
  <c r="I674" i="15"/>
  <c r="K674" i="15" s="1"/>
  <c r="J673" i="15"/>
  <c r="I673" i="15"/>
  <c r="K673" i="15" s="1"/>
  <c r="J672" i="15"/>
  <c r="J671" i="15"/>
  <c r="J661" i="15"/>
  <c r="I661" i="15"/>
  <c r="K661" i="15" s="1"/>
  <c r="I660" i="15"/>
  <c r="I657" i="15"/>
  <c r="J654" i="15"/>
  <c r="I654" i="15"/>
  <c r="K654" i="15" s="1"/>
  <c r="J653" i="15"/>
  <c r="I653" i="15"/>
  <c r="K653" i="15" s="1"/>
  <c r="J652" i="15"/>
  <c r="I652" i="15"/>
  <c r="K652" i="15" s="1"/>
  <c r="U650" i="15"/>
  <c r="T650" i="15"/>
  <c r="P650" i="15"/>
  <c r="O650" i="15"/>
  <c r="U649" i="15"/>
  <c r="T649" i="15"/>
  <c r="P649" i="15"/>
  <c r="O649" i="15"/>
  <c r="U648" i="15"/>
  <c r="T648" i="15"/>
  <c r="S648" i="15"/>
  <c r="R648" i="15"/>
  <c r="Q648" i="15"/>
  <c r="O648" i="15"/>
  <c r="N648" i="15"/>
  <c r="M648" i="15"/>
  <c r="P648" i="15" s="1"/>
  <c r="L648" i="15"/>
  <c r="S647" i="15"/>
  <c r="S644" i="15" s="1"/>
  <c r="R647" i="15"/>
  <c r="R645" i="15" s="1"/>
  <c r="U645" i="15" s="1"/>
  <c r="Q647" i="15"/>
  <c r="Q644" i="15" s="1"/>
  <c r="P647" i="15"/>
  <c r="O647" i="15"/>
  <c r="U646" i="15"/>
  <c r="T646" i="15"/>
  <c r="P646" i="15"/>
  <c r="O646" i="15"/>
  <c r="N645" i="15"/>
  <c r="M645" i="15"/>
  <c r="P645" i="15" s="1"/>
  <c r="L645" i="15"/>
  <c r="O645" i="15" s="1"/>
  <c r="P644" i="15"/>
  <c r="O644" i="15"/>
  <c r="N644" i="15"/>
  <c r="M644" i="15"/>
  <c r="L644" i="15"/>
  <c r="T643" i="15"/>
  <c r="S643" i="15"/>
  <c r="R643" i="15"/>
  <c r="U643" i="15" s="1"/>
  <c r="Q643" i="15"/>
  <c r="N643" i="15"/>
  <c r="M643" i="15"/>
  <c r="P643" i="15" s="1"/>
  <c r="L643" i="15"/>
  <c r="O643" i="15" s="1"/>
  <c r="M642" i="15"/>
  <c r="P642" i="15" s="1"/>
  <c r="L642" i="15"/>
  <c r="O642" i="15" s="1"/>
  <c r="J636" i="15"/>
  <c r="J635" i="15" s="1"/>
  <c r="I635" i="15"/>
  <c r="K635" i="15" s="1"/>
  <c r="J632" i="15"/>
  <c r="J626" i="15" s="1"/>
  <c r="J615" i="15" s="1"/>
  <c r="I628" i="15"/>
  <c r="K628" i="15" s="1"/>
  <c r="I627" i="15"/>
  <c r="K627" i="15" s="1"/>
  <c r="I626" i="15"/>
  <c r="K629" i="15" s="1"/>
  <c r="U624" i="15"/>
  <c r="T624" i="15"/>
  <c r="P624" i="15"/>
  <c r="O624" i="15"/>
  <c r="U623" i="15"/>
  <c r="T623" i="15"/>
  <c r="P623" i="15"/>
  <c r="O623" i="15"/>
  <c r="S622" i="15"/>
  <c r="R622" i="15"/>
  <c r="U622" i="15" s="1"/>
  <c r="Q622" i="15"/>
  <c r="T622" i="15" s="1"/>
  <c r="P622" i="15"/>
  <c r="N622" i="15"/>
  <c r="M622" i="15"/>
  <c r="L622" i="15"/>
  <c r="O622" i="15" s="1"/>
  <c r="S621" i="15"/>
  <c r="R621" i="15"/>
  <c r="R619" i="15" s="1"/>
  <c r="Q621" i="15"/>
  <c r="Q619" i="15" s="1"/>
  <c r="P621" i="15"/>
  <c r="O621" i="15"/>
  <c r="U620" i="15"/>
  <c r="T620" i="15"/>
  <c r="P620" i="15"/>
  <c r="O620" i="15"/>
  <c r="O619" i="15"/>
  <c r="N619" i="15"/>
  <c r="M619" i="15"/>
  <c r="P619" i="15" s="1"/>
  <c r="L619" i="15"/>
  <c r="P618" i="15"/>
  <c r="N618" i="15"/>
  <c r="M618" i="15"/>
  <c r="L618" i="15"/>
  <c r="O618" i="15" s="1"/>
  <c r="U617" i="15"/>
  <c r="T617" i="15"/>
  <c r="S617" i="15"/>
  <c r="R617" i="15"/>
  <c r="Q617" i="15"/>
  <c r="P617" i="15"/>
  <c r="O617" i="15"/>
  <c r="N617" i="15"/>
  <c r="N616" i="15" s="1"/>
  <c r="M617" i="15"/>
  <c r="L617" i="15"/>
  <c r="M616" i="15"/>
  <c r="P616" i="15" s="1"/>
  <c r="L616" i="15"/>
  <c r="O616" i="15" s="1"/>
  <c r="S607" i="15"/>
  <c r="S605" i="15" s="1"/>
  <c r="R607" i="15"/>
  <c r="R605" i="15" s="1"/>
  <c r="U605" i="15" s="1"/>
  <c r="Q607" i="15"/>
  <c r="Q605" i="15" s="1"/>
  <c r="T605" i="15" s="1"/>
  <c r="N607" i="15"/>
  <c r="N605" i="15" s="1"/>
  <c r="M607" i="15"/>
  <c r="M605" i="15" s="1"/>
  <c r="P605" i="15" s="1"/>
  <c r="L607" i="15"/>
  <c r="L605" i="15" s="1"/>
  <c r="O605" i="15" s="1"/>
  <c r="U606" i="15"/>
  <c r="T606" i="15"/>
  <c r="P606" i="15"/>
  <c r="O606" i="15"/>
  <c r="S604" i="15"/>
  <c r="S602" i="15" s="1"/>
  <c r="R604" i="15"/>
  <c r="R602" i="15" s="1"/>
  <c r="U602" i="15" s="1"/>
  <c r="Q604" i="15"/>
  <c r="N604" i="15"/>
  <c r="N602" i="15" s="1"/>
  <c r="M604" i="15"/>
  <c r="M602" i="15" s="1"/>
  <c r="P602" i="15" s="1"/>
  <c r="L604" i="15"/>
  <c r="O604" i="15" s="1"/>
  <c r="U603" i="15"/>
  <c r="T603" i="15"/>
  <c r="P603" i="15"/>
  <c r="O603" i="15"/>
  <c r="S600" i="15"/>
  <c r="R600" i="15"/>
  <c r="U600" i="15" s="1"/>
  <c r="Q600" i="15"/>
  <c r="P600" i="15"/>
  <c r="N600" i="15"/>
  <c r="M600" i="15"/>
  <c r="L600" i="15"/>
  <c r="O600" i="15" s="1"/>
  <c r="K587" i="15"/>
  <c r="K586" i="15"/>
  <c r="U584" i="15"/>
  <c r="T584" i="15"/>
  <c r="N584" i="15"/>
  <c r="N582" i="15" s="1"/>
  <c r="M584" i="15"/>
  <c r="M582" i="15" s="1"/>
  <c r="P582" i="15" s="1"/>
  <c r="L584" i="15"/>
  <c r="L582" i="15" s="1"/>
  <c r="O582" i="15" s="1"/>
  <c r="U583" i="15"/>
  <c r="T583" i="15"/>
  <c r="P583" i="15"/>
  <c r="O583" i="15"/>
  <c r="U582" i="15"/>
  <c r="S582" i="15"/>
  <c r="R582" i="15"/>
  <c r="Q582" i="15"/>
  <c r="T582" i="15" s="1"/>
  <c r="U581" i="15"/>
  <c r="T581" i="15"/>
  <c r="N581" i="15"/>
  <c r="N579" i="15" s="1"/>
  <c r="M581" i="15"/>
  <c r="L581" i="15"/>
  <c r="L579" i="15" s="1"/>
  <c r="U580" i="15"/>
  <c r="T580" i="15"/>
  <c r="P580" i="15"/>
  <c r="O580" i="15"/>
  <c r="S579" i="15"/>
  <c r="R579" i="15"/>
  <c r="U579" i="15" s="1"/>
  <c r="Q579" i="15"/>
  <c r="T579" i="15" s="1"/>
  <c r="U578" i="15"/>
  <c r="T578" i="15"/>
  <c r="S578" i="15"/>
  <c r="R578" i="15"/>
  <c r="Q578" i="15"/>
  <c r="T577" i="15"/>
  <c r="S577" i="15"/>
  <c r="R577" i="15"/>
  <c r="U577" i="15" s="1"/>
  <c r="Q577" i="15"/>
  <c r="P577" i="15"/>
  <c r="N577" i="15"/>
  <c r="M577" i="15"/>
  <c r="L577" i="15"/>
  <c r="T576" i="15"/>
  <c r="S576" i="15"/>
  <c r="Q576" i="15"/>
  <c r="K575" i="15"/>
  <c r="J575" i="15"/>
  <c r="I575" i="15"/>
  <c r="U563" i="15"/>
  <c r="T563" i="15"/>
  <c r="N563" i="15"/>
  <c r="M563" i="15"/>
  <c r="M561" i="15" s="1"/>
  <c r="P561" i="15" s="1"/>
  <c r="L563" i="15"/>
  <c r="O563" i="15" s="1"/>
  <c r="U562" i="15"/>
  <c r="T562" i="15"/>
  <c r="P562" i="15"/>
  <c r="O562" i="15"/>
  <c r="S561" i="15"/>
  <c r="R561" i="15"/>
  <c r="U561" i="15" s="1"/>
  <c r="Q561" i="15"/>
  <c r="T561" i="15" s="1"/>
  <c r="U560" i="15"/>
  <c r="T560" i="15"/>
  <c r="N560" i="15"/>
  <c r="M560" i="15"/>
  <c r="P560" i="15" s="1"/>
  <c r="L560" i="15"/>
  <c r="L558" i="15" s="1"/>
  <c r="O558" i="15" s="1"/>
  <c r="U559" i="15"/>
  <c r="T559" i="15"/>
  <c r="P559" i="15"/>
  <c r="O559" i="15"/>
  <c r="U558" i="15"/>
  <c r="T558" i="15"/>
  <c r="S558" i="15"/>
  <c r="R558" i="15"/>
  <c r="Q558" i="15"/>
  <c r="N558" i="15"/>
  <c r="U557" i="15"/>
  <c r="S557" i="15"/>
  <c r="R557" i="15"/>
  <c r="Q557" i="15"/>
  <c r="T557" i="15" s="1"/>
  <c r="S556" i="15"/>
  <c r="S555" i="15" s="1"/>
  <c r="R556" i="15"/>
  <c r="R555" i="15" s="1"/>
  <c r="U555" i="15" s="1"/>
  <c r="Q556" i="15"/>
  <c r="T556" i="15" s="1"/>
  <c r="N556" i="15"/>
  <c r="M556" i="15"/>
  <c r="P556" i="15" s="1"/>
  <c r="L556" i="15"/>
  <c r="O556" i="15" s="1"/>
  <c r="J554" i="15"/>
  <c r="I554" i="15"/>
  <c r="K554" i="15" s="1"/>
  <c r="U542" i="15"/>
  <c r="T542" i="15"/>
  <c r="N542" i="15"/>
  <c r="N540" i="15" s="1"/>
  <c r="M542" i="15"/>
  <c r="M540" i="15" s="1"/>
  <c r="P540" i="15" s="1"/>
  <c r="L542" i="15"/>
  <c r="L540" i="15" s="1"/>
  <c r="O540" i="15" s="1"/>
  <c r="U541" i="15"/>
  <c r="T541" i="15"/>
  <c r="P541" i="15"/>
  <c r="O541" i="15"/>
  <c r="U540" i="15"/>
  <c r="T540" i="15"/>
  <c r="S540" i="15"/>
  <c r="R540" i="15"/>
  <c r="Q540" i="15"/>
  <c r="U539" i="15"/>
  <c r="T539" i="15"/>
  <c r="N539" i="15"/>
  <c r="M539" i="15"/>
  <c r="P539" i="15" s="1"/>
  <c r="L539" i="15"/>
  <c r="O539" i="15" s="1"/>
  <c r="U538" i="15"/>
  <c r="T538" i="15"/>
  <c r="P538" i="15"/>
  <c r="O538" i="15"/>
  <c r="T537" i="15"/>
  <c r="S537" i="15"/>
  <c r="R537" i="15"/>
  <c r="U537" i="15" s="1"/>
  <c r="Q537" i="15"/>
  <c r="S536" i="15"/>
  <c r="R536" i="15"/>
  <c r="U536" i="15" s="1"/>
  <c r="Q536" i="15"/>
  <c r="T536" i="15" s="1"/>
  <c r="U535" i="15"/>
  <c r="T535" i="15"/>
  <c r="S535" i="15"/>
  <c r="S534" i="15" s="1"/>
  <c r="R535" i="15"/>
  <c r="Q535" i="15"/>
  <c r="O535" i="15"/>
  <c r="N535" i="15"/>
  <c r="M535" i="15"/>
  <c r="P535" i="15" s="1"/>
  <c r="L535" i="15"/>
  <c r="R534" i="15"/>
  <c r="U534" i="15" s="1"/>
  <c r="Q534" i="15"/>
  <c r="T534" i="15" s="1"/>
  <c r="K533" i="15"/>
  <c r="J533" i="15"/>
  <c r="I533" i="15"/>
  <c r="K524" i="15"/>
  <c r="K523" i="15"/>
  <c r="U521" i="15"/>
  <c r="T521" i="15"/>
  <c r="N521" i="15"/>
  <c r="N519" i="15" s="1"/>
  <c r="M521" i="15"/>
  <c r="M519" i="15" s="1"/>
  <c r="P519" i="15" s="1"/>
  <c r="L521" i="15"/>
  <c r="L519" i="15" s="1"/>
  <c r="O519" i="15" s="1"/>
  <c r="U520" i="15"/>
  <c r="T520" i="15"/>
  <c r="P520" i="15"/>
  <c r="O520" i="15"/>
  <c r="T519" i="15"/>
  <c r="S519" i="15"/>
  <c r="R519" i="15"/>
  <c r="U519" i="15" s="1"/>
  <c r="Q519" i="15"/>
  <c r="U518" i="15"/>
  <c r="T518" i="15"/>
  <c r="N518" i="15"/>
  <c r="N516" i="15" s="1"/>
  <c r="M518" i="15"/>
  <c r="P518" i="15" s="1"/>
  <c r="L518" i="15"/>
  <c r="L516" i="15" s="1"/>
  <c r="O516" i="15" s="1"/>
  <c r="U517" i="15"/>
  <c r="T517" i="15"/>
  <c r="P517" i="15"/>
  <c r="O517" i="15"/>
  <c r="U516" i="15"/>
  <c r="S516" i="15"/>
  <c r="R516" i="15"/>
  <c r="Q516" i="15"/>
  <c r="T516" i="15" s="1"/>
  <c r="U515" i="15"/>
  <c r="S515" i="15"/>
  <c r="R515" i="15"/>
  <c r="Q515" i="15"/>
  <c r="T515" i="15" s="1"/>
  <c r="T514" i="15"/>
  <c r="S514" i="15"/>
  <c r="S513" i="15" s="1"/>
  <c r="R514" i="15"/>
  <c r="U514" i="15" s="1"/>
  <c r="Q514" i="15"/>
  <c r="Q513" i="15" s="1"/>
  <c r="T513" i="15" s="1"/>
  <c r="N514" i="15"/>
  <c r="M514" i="15"/>
  <c r="P514" i="15" s="1"/>
  <c r="L514" i="15"/>
  <c r="J512" i="15"/>
  <c r="I512" i="15"/>
  <c r="K512" i="15" s="1"/>
  <c r="I509" i="15"/>
  <c r="K509" i="15" s="1"/>
  <c r="K508" i="15"/>
  <c r="I507" i="15"/>
  <c r="K507" i="15" s="1"/>
  <c r="I506" i="15"/>
  <c r="K506" i="15" s="1"/>
  <c r="I505" i="15"/>
  <c r="K505" i="15" s="1"/>
  <c r="I504" i="15"/>
  <c r="K504" i="15" s="1"/>
  <c r="J503" i="15"/>
  <c r="I503" i="15"/>
  <c r="K503" i="15" s="1"/>
  <c r="U501" i="15"/>
  <c r="T501" i="15"/>
  <c r="N501" i="15"/>
  <c r="N499" i="15" s="1"/>
  <c r="M501" i="15"/>
  <c r="L501" i="15"/>
  <c r="O501" i="15" s="1"/>
  <c r="U500" i="15"/>
  <c r="T500" i="15"/>
  <c r="P500" i="15"/>
  <c r="O500" i="15"/>
  <c r="U499" i="15"/>
  <c r="T499" i="15"/>
  <c r="S499" i="15"/>
  <c r="R499" i="15"/>
  <c r="Q499" i="15"/>
  <c r="S498" i="15"/>
  <c r="S496" i="15" s="1"/>
  <c r="R498" i="15"/>
  <c r="R496" i="15" s="1"/>
  <c r="Q498" i="15"/>
  <c r="N498" i="15"/>
  <c r="N496" i="15" s="1"/>
  <c r="M498" i="15"/>
  <c r="M496" i="15" s="1"/>
  <c r="L498" i="15"/>
  <c r="L496" i="15" s="1"/>
  <c r="U497" i="15"/>
  <c r="T497" i="15"/>
  <c r="P497" i="15"/>
  <c r="O497" i="15"/>
  <c r="U494" i="15"/>
  <c r="T494" i="15"/>
  <c r="S494" i="15"/>
  <c r="R494" i="15"/>
  <c r="Q494" i="15"/>
  <c r="P494" i="15"/>
  <c r="O494" i="15"/>
  <c r="N494" i="15"/>
  <c r="M494" i="15"/>
  <c r="L494" i="15"/>
  <c r="J492" i="15"/>
  <c r="J485" i="15"/>
  <c r="I485" i="15"/>
  <c r="J484" i="15"/>
  <c r="I484" i="15"/>
  <c r="K484" i="15" s="1"/>
  <c r="K477" i="15"/>
  <c r="J477" i="15"/>
  <c r="K476" i="15"/>
  <c r="J476" i="15"/>
  <c r="K475" i="15"/>
  <c r="J475" i="15"/>
  <c r="J468" i="15"/>
  <c r="J467" i="15"/>
  <c r="J457" i="15" s="1"/>
  <c r="J460" i="15"/>
  <c r="J458" i="15" s="1"/>
  <c r="J459" i="15"/>
  <c r="I458" i="15"/>
  <c r="I457" i="15"/>
  <c r="I456" i="15" s="1"/>
  <c r="J447" i="15"/>
  <c r="J441" i="15" s="1"/>
  <c r="J446" i="15"/>
  <c r="I441" i="15"/>
  <c r="J440" i="15"/>
  <c r="I440" i="15"/>
  <c r="I423" i="15" s="1"/>
  <c r="J433" i="15"/>
  <c r="I433" i="15"/>
  <c r="K433" i="15" s="1"/>
  <c r="J432" i="15"/>
  <c r="I432" i="15"/>
  <c r="J425" i="15"/>
  <c r="I425" i="15"/>
  <c r="K425" i="15" s="1"/>
  <c r="J424" i="15"/>
  <c r="I424" i="15"/>
  <c r="U421" i="15"/>
  <c r="T421" i="15"/>
  <c r="N421" i="15"/>
  <c r="N419" i="15" s="1"/>
  <c r="M421" i="15"/>
  <c r="P421" i="15" s="1"/>
  <c r="L421" i="15"/>
  <c r="L419" i="15" s="1"/>
  <c r="O419" i="15" s="1"/>
  <c r="U420" i="15"/>
  <c r="T420" i="15"/>
  <c r="P420" i="15"/>
  <c r="O420" i="15"/>
  <c r="T419" i="15"/>
  <c r="S419" i="15"/>
  <c r="R419" i="15"/>
  <c r="U419" i="15" s="1"/>
  <c r="Q419" i="15"/>
  <c r="S418" i="15"/>
  <c r="S416" i="15" s="1"/>
  <c r="R418" i="15"/>
  <c r="R416" i="15" s="1"/>
  <c r="Q418" i="15"/>
  <c r="Q416" i="15" s="1"/>
  <c r="N418" i="15"/>
  <c r="N416" i="15" s="1"/>
  <c r="M418" i="15"/>
  <c r="L418" i="15"/>
  <c r="L416" i="15" s="1"/>
  <c r="U417" i="15"/>
  <c r="T417" i="15"/>
  <c r="P417" i="15"/>
  <c r="O417" i="15"/>
  <c r="U414" i="15"/>
  <c r="T414" i="15"/>
  <c r="S414" i="15"/>
  <c r="R414" i="15"/>
  <c r="Q414" i="15"/>
  <c r="P414" i="15"/>
  <c r="O414" i="15"/>
  <c r="N414" i="15"/>
  <c r="M414" i="15"/>
  <c r="L414" i="15"/>
  <c r="U400" i="15"/>
  <c r="T400" i="15"/>
  <c r="P400" i="15"/>
  <c r="O400" i="15"/>
  <c r="U399" i="15"/>
  <c r="T399" i="15"/>
  <c r="P399" i="15"/>
  <c r="O399" i="15"/>
  <c r="U398" i="15"/>
  <c r="S398" i="15"/>
  <c r="R398" i="15"/>
  <c r="Q398" i="15"/>
  <c r="T398" i="15" s="1"/>
  <c r="P398" i="15"/>
  <c r="O398" i="15"/>
  <c r="N398" i="15"/>
  <c r="M398" i="15"/>
  <c r="L398" i="15"/>
  <c r="S397" i="15"/>
  <c r="S394" i="15" s="1"/>
  <c r="S392" i="15" s="1"/>
  <c r="R397" i="15"/>
  <c r="U397" i="15" s="1"/>
  <c r="Q397" i="15"/>
  <c r="T397" i="15" s="1"/>
  <c r="P397" i="15"/>
  <c r="O397" i="15"/>
  <c r="U396" i="15"/>
  <c r="T396" i="15"/>
  <c r="P396" i="15"/>
  <c r="O396" i="15"/>
  <c r="N395" i="15"/>
  <c r="M395" i="15"/>
  <c r="P395" i="15" s="1"/>
  <c r="L395" i="15"/>
  <c r="O395" i="15" s="1"/>
  <c r="P394" i="15"/>
  <c r="N394" i="15"/>
  <c r="M394" i="15"/>
  <c r="L394" i="15"/>
  <c r="O394" i="15" s="1"/>
  <c r="U393" i="15"/>
  <c r="T393" i="15"/>
  <c r="S393" i="15"/>
  <c r="R393" i="15"/>
  <c r="Q393" i="15"/>
  <c r="P393" i="15"/>
  <c r="O393" i="15"/>
  <c r="N393" i="15"/>
  <c r="M393" i="15"/>
  <c r="L393" i="15"/>
  <c r="N392" i="15"/>
  <c r="M392" i="15"/>
  <c r="P392" i="15" s="1"/>
  <c r="L392" i="15"/>
  <c r="O392" i="15" s="1"/>
  <c r="K391" i="15"/>
  <c r="J391" i="15"/>
  <c r="I391" i="15"/>
  <c r="J388" i="15"/>
  <c r="I388" i="15"/>
  <c r="K388" i="15" s="1"/>
  <c r="K387" i="15"/>
  <c r="J387" i="15"/>
  <c r="J386" i="15"/>
  <c r="I386" i="15"/>
  <c r="K385" i="15"/>
  <c r="J385" i="15"/>
  <c r="U383" i="15"/>
  <c r="T383" i="15"/>
  <c r="N383" i="15"/>
  <c r="N381" i="15" s="1"/>
  <c r="M383" i="15"/>
  <c r="M381" i="15" s="1"/>
  <c r="P381" i="15" s="1"/>
  <c r="L383" i="15"/>
  <c r="L381" i="15" s="1"/>
  <c r="O381" i="15" s="1"/>
  <c r="U382" i="15"/>
  <c r="T382" i="15"/>
  <c r="P382" i="15"/>
  <c r="O382" i="15"/>
  <c r="U381" i="15"/>
  <c r="S381" i="15"/>
  <c r="R381" i="15"/>
  <c r="Q381" i="15"/>
  <c r="T381" i="15" s="1"/>
  <c r="S380" i="15"/>
  <c r="S378" i="15" s="1"/>
  <c r="R380" i="15"/>
  <c r="R378" i="15" s="1"/>
  <c r="Q380" i="15"/>
  <c r="Q378" i="15" s="1"/>
  <c r="N380" i="15"/>
  <c r="N378" i="15" s="1"/>
  <c r="M380" i="15"/>
  <c r="M378" i="15" s="1"/>
  <c r="P378" i="15" s="1"/>
  <c r="L380" i="15"/>
  <c r="L378" i="15" s="1"/>
  <c r="O378" i="15" s="1"/>
  <c r="U379" i="15"/>
  <c r="T379" i="15"/>
  <c r="P379" i="15"/>
  <c r="O379" i="15"/>
  <c r="T376" i="15"/>
  <c r="S376" i="15"/>
  <c r="R376" i="15"/>
  <c r="U376" i="15" s="1"/>
  <c r="Q376" i="15"/>
  <c r="N376" i="15"/>
  <c r="M376" i="15"/>
  <c r="L376" i="15"/>
  <c r="O376" i="15" s="1"/>
  <c r="D373" i="15"/>
  <c r="K372" i="15"/>
  <c r="J372" i="15"/>
  <c r="J371" i="15"/>
  <c r="J365" i="15" s="1"/>
  <c r="I371" i="15"/>
  <c r="I365" i="15" s="1"/>
  <c r="K370" i="15"/>
  <c r="J370" i="15"/>
  <c r="J369" i="15"/>
  <c r="I369" i="15"/>
  <c r="J368" i="15"/>
  <c r="I368" i="15"/>
  <c r="K367" i="15"/>
  <c r="J367" i="15"/>
  <c r="U364" i="15"/>
  <c r="T364" i="15"/>
  <c r="N364" i="15"/>
  <c r="N362" i="15" s="1"/>
  <c r="M364" i="15"/>
  <c r="P364" i="15" s="1"/>
  <c r="L364" i="15"/>
  <c r="O364" i="15" s="1"/>
  <c r="U363" i="15"/>
  <c r="T363" i="15"/>
  <c r="P363" i="15"/>
  <c r="O363" i="15"/>
  <c r="S362" i="15"/>
  <c r="R362" i="15"/>
  <c r="U362" i="15" s="1"/>
  <c r="Q362" i="15"/>
  <c r="T362" i="15" s="1"/>
  <c r="U361" i="15"/>
  <c r="T361" i="15"/>
  <c r="N361" i="15"/>
  <c r="N359" i="15" s="1"/>
  <c r="M361" i="15"/>
  <c r="L361" i="15"/>
  <c r="U360" i="15"/>
  <c r="T360" i="15"/>
  <c r="P360" i="15"/>
  <c r="O360" i="15"/>
  <c r="U359" i="15"/>
  <c r="T359" i="15"/>
  <c r="S359" i="15"/>
  <c r="R359" i="15"/>
  <c r="Q359" i="15"/>
  <c r="S358" i="15"/>
  <c r="S356" i="15" s="1"/>
  <c r="R358" i="15"/>
  <c r="U358" i="15" s="1"/>
  <c r="Q358" i="15"/>
  <c r="T358" i="15" s="1"/>
  <c r="S357" i="15"/>
  <c r="R357" i="15"/>
  <c r="R356" i="15" s="1"/>
  <c r="U356" i="15" s="1"/>
  <c r="Q357" i="15"/>
  <c r="P357" i="15"/>
  <c r="N357" i="15"/>
  <c r="M357" i="15"/>
  <c r="L357" i="15"/>
  <c r="J354" i="15"/>
  <c r="J353" i="15"/>
  <c r="J352" i="15"/>
  <c r="D350" i="15"/>
  <c r="J349" i="15"/>
  <c r="J348" i="15"/>
  <c r="J347" i="15"/>
  <c r="J346" i="15"/>
  <c r="I346" i="15"/>
  <c r="K344" i="15"/>
  <c r="J344" i="15"/>
  <c r="U341" i="15"/>
  <c r="T341" i="15"/>
  <c r="N341" i="15"/>
  <c r="M341" i="15"/>
  <c r="M339" i="15" s="1"/>
  <c r="P339" i="15" s="1"/>
  <c r="L341" i="15"/>
  <c r="L339" i="15" s="1"/>
  <c r="O339" i="15" s="1"/>
  <c r="U340" i="15"/>
  <c r="T340" i="15"/>
  <c r="P340" i="15"/>
  <c r="O340" i="15"/>
  <c r="U339" i="15"/>
  <c r="T339" i="15"/>
  <c r="S339" i="15"/>
  <c r="R339" i="15"/>
  <c r="Q339" i="15"/>
  <c r="U338" i="15"/>
  <c r="T338" i="15"/>
  <c r="N338" i="15"/>
  <c r="N336" i="15" s="1"/>
  <c r="M338" i="15"/>
  <c r="M336" i="15" s="1"/>
  <c r="L338" i="15"/>
  <c r="U337" i="15"/>
  <c r="T337" i="15"/>
  <c r="P337" i="15"/>
  <c r="O337" i="15"/>
  <c r="S336" i="15"/>
  <c r="R336" i="15"/>
  <c r="U336" i="15" s="1"/>
  <c r="Q336" i="15"/>
  <c r="T336" i="15" s="1"/>
  <c r="U335" i="15"/>
  <c r="T335" i="15"/>
  <c r="S335" i="15"/>
  <c r="R335" i="15"/>
  <c r="Q335" i="15"/>
  <c r="T334" i="15"/>
  <c r="S334" i="15"/>
  <c r="S333" i="15" s="1"/>
  <c r="R334" i="15"/>
  <c r="U334" i="15" s="1"/>
  <c r="Q334" i="15"/>
  <c r="N334" i="15"/>
  <c r="M334" i="15"/>
  <c r="L334" i="15"/>
  <c r="O334" i="15" s="1"/>
  <c r="U333" i="15"/>
  <c r="R333" i="15"/>
  <c r="Q333" i="15"/>
  <c r="T333" i="15" s="1"/>
  <c r="I332" i="15"/>
  <c r="I330" i="15"/>
  <c r="K330" i="15" s="1"/>
  <c r="U328" i="15"/>
  <c r="T328" i="15"/>
  <c r="N328" i="15"/>
  <c r="N326" i="15" s="1"/>
  <c r="M328" i="15"/>
  <c r="P328" i="15" s="1"/>
  <c r="L328" i="15"/>
  <c r="O328" i="15" s="1"/>
  <c r="U327" i="15"/>
  <c r="T327" i="15"/>
  <c r="P327" i="15"/>
  <c r="O327" i="15"/>
  <c r="T326" i="15"/>
  <c r="S326" i="15"/>
  <c r="R326" i="15"/>
  <c r="U326" i="15" s="1"/>
  <c r="Q326" i="15"/>
  <c r="U325" i="15"/>
  <c r="T325" i="15"/>
  <c r="N325" i="15"/>
  <c r="N323" i="15" s="1"/>
  <c r="M325" i="15"/>
  <c r="M323" i="15" s="1"/>
  <c r="L325" i="15"/>
  <c r="U324" i="15"/>
  <c r="T324" i="15"/>
  <c r="P324" i="15"/>
  <c r="O324" i="15"/>
  <c r="U323" i="15"/>
  <c r="S323" i="15"/>
  <c r="R323" i="15"/>
  <c r="Q323" i="15"/>
  <c r="T323" i="15" s="1"/>
  <c r="T322" i="15"/>
  <c r="S322" i="15"/>
  <c r="R322" i="15"/>
  <c r="U322" i="15" s="1"/>
  <c r="Q322" i="15"/>
  <c r="S321" i="15"/>
  <c r="S320" i="15" s="1"/>
  <c r="R321" i="15"/>
  <c r="U321" i="15" s="1"/>
  <c r="Q321" i="15"/>
  <c r="T321" i="15" s="1"/>
  <c r="P321" i="15"/>
  <c r="N321" i="15"/>
  <c r="M321" i="15"/>
  <c r="L321" i="15"/>
  <c r="O321" i="15" s="1"/>
  <c r="Q320" i="15"/>
  <c r="T320" i="15" s="1"/>
  <c r="J319" i="15"/>
  <c r="I314" i="15"/>
  <c r="K314" i="15" s="1"/>
  <c r="U311" i="15"/>
  <c r="T311" i="15"/>
  <c r="N311" i="15"/>
  <c r="N309" i="15" s="1"/>
  <c r="M311" i="15"/>
  <c r="P311" i="15" s="1"/>
  <c r="L311" i="15"/>
  <c r="O311" i="15" s="1"/>
  <c r="U310" i="15"/>
  <c r="T310" i="15"/>
  <c r="P310" i="15"/>
  <c r="O310" i="15"/>
  <c r="S309" i="15"/>
  <c r="R309" i="15"/>
  <c r="U309" i="15" s="1"/>
  <c r="Q309" i="15"/>
  <c r="T309" i="15" s="1"/>
  <c r="S308" i="15"/>
  <c r="S306" i="15" s="1"/>
  <c r="R308" i="15"/>
  <c r="R306" i="15" s="1"/>
  <c r="Q308" i="15"/>
  <c r="Q305" i="15" s="1"/>
  <c r="N308" i="15"/>
  <c r="M308" i="15"/>
  <c r="M306" i="15" s="1"/>
  <c r="L308" i="15"/>
  <c r="L306" i="15" s="1"/>
  <c r="U307" i="15"/>
  <c r="T307" i="15"/>
  <c r="P307" i="15"/>
  <c r="O307" i="15"/>
  <c r="T304" i="15"/>
  <c r="S304" i="15"/>
  <c r="R304" i="15"/>
  <c r="U304" i="15" s="1"/>
  <c r="Q304" i="15"/>
  <c r="P304" i="15"/>
  <c r="N304" i="15"/>
  <c r="M304" i="15"/>
  <c r="L304" i="15"/>
  <c r="O304" i="15" s="1"/>
  <c r="J302" i="15"/>
  <c r="I299" i="15"/>
  <c r="K299" i="15" s="1"/>
  <c r="I298" i="15"/>
  <c r="K298" i="15" s="1"/>
  <c r="I296" i="15"/>
  <c r="K296" i="15" s="1"/>
  <c r="I295" i="15"/>
  <c r="K295" i="15" s="1"/>
  <c r="J293" i="15"/>
  <c r="J280" i="15" s="1"/>
  <c r="I293" i="15"/>
  <c r="I280" i="15" s="1"/>
  <c r="K280" i="15" s="1"/>
  <c r="I292" i="15"/>
  <c r="K292" i="15" s="1"/>
  <c r="U290" i="15"/>
  <c r="T290" i="15"/>
  <c r="N290" i="15"/>
  <c r="N288" i="15" s="1"/>
  <c r="M290" i="15"/>
  <c r="M288" i="15" s="1"/>
  <c r="P288" i="15" s="1"/>
  <c r="L290" i="15"/>
  <c r="L288" i="15" s="1"/>
  <c r="O288" i="15" s="1"/>
  <c r="U289" i="15"/>
  <c r="T289" i="15"/>
  <c r="P289" i="15"/>
  <c r="O289" i="15"/>
  <c r="T288" i="15"/>
  <c r="S288" i="15"/>
  <c r="R288" i="15"/>
  <c r="U288" i="15" s="1"/>
  <c r="Q288" i="15"/>
  <c r="U287" i="15"/>
  <c r="T287" i="15"/>
  <c r="N287" i="15"/>
  <c r="N285" i="15" s="1"/>
  <c r="M287" i="15"/>
  <c r="M285" i="15" s="1"/>
  <c r="L287" i="15"/>
  <c r="U286" i="15"/>
  <c r="T286" i="15"/>
  <c r="P286" i="15"/>
  <c r="O286" i="15"/>
  <c r="T285" i="15"/>
  <c r="S285" i="15"/>
  <c r="R285" i="15"/>
  <c r="U285" i="15" s="1"/>
  <c r="Q285" i="15"/>
  <c r="U284" i="15"/>
  <c r="T284" i="15"/>
  <c r="S284" i="15"/>
  <c r="R284" i="15"/>
  <c r="Q284" i="15"/>
  <c r="T283" i="15"/>
  <c r="S283" i="15"/>
  <c r="R283" i="15"/>
  <c r="U283" i="15" s="1"/>
  <c r="Q283" i="15"/>
  <c r="Q282" i="15" s="1"/>
  <c r="T282" i="15" s="1"/>
  <c r="N283" i="15"/>
  <c r="M283" i="15"/>
  <c r="L283" i="15"/>
  <c r="O283" i="15" s="1"/>
  <c r="J281" i="15"/>
  <c r="I276" i="15"/>
  <c r="K276" i="15" s="1"/>
  <c r="U274" i="15"/>
  <c r="T274" i="15"/>
  <c r="N274" i="15"/>
  <c r="M274" i="15"/>
  <c r="P274" i="15" s="1"/>
  <c r="L274" i="15"/>
  <c r="L272" i="15" s="1"/>
  <c r="O272" i="15" s="1"/>
  <c r="U273" i="15"/>
  <c r="T273" i="15"/>
  <c r="P273" i="15"/>
  <c r="O273" i="15"/>
  <c r="U272" i="15"/>
  <c r="T272" i="15"/>
  <c r="S272" i="15"/>
  <c r="R272" i="15"/>
  <c r="Q272" i="15"/>
  <c r="S271" i="15"/>
  <c r="S269" i="15" s="1"/>
  <c r="R271" i="15"/>
  <c r="R269" i="15" s="1"/>
  <c r="Q271" i="15"/>
  <c r="Q269" i="15" s="1"/>
  <c r="N271" i="15"/>
  <c r="M271" i="15"/>
  <c r="M269" i="15" s="1"/>
  <c r="L271" i="15"/>
  <c r="L269" i="15" s="1"/>
  <c r="U270" i="15"/>
  <c r="T270" i="15"/>
  <c r="P270" i="15"/>
  <c r="O270" i="15"/>
  <c r="U267" i="15"/>
  <c r="S267" i="15"/>
  <c r="R267" i="15"/>
  <c r="Q267" i="15"/>
  <c r="T267" i="15" s="1"/>
  <c r="P267" i="15"/>
  <c r="N267" i="15"/>
  <c r="M267" i="15"/>
  <c r="L267" i="15"/>
  <c r="O267" i="15" s="1"/>
  <c r="J265" i="15"/>
  <c r="K263" i="15"/>
  <c r="K262" i="15"/>
  <c r="I260" i="15"/>
  <c r="L258" i="15"/>
  <c r="L257" i="15"/>
  <c r="L256" i="15"/>
  <c r="L255" i="15"/>
  <c r="P254" i="15"/>
  <c r="N254" i="15"/>
  <c r="J253" i="15"/>
  <c r="K252" i="15"/>
  <c r="K251" i="15"/>
  <c r="I249" i="15"/>
  <c r="L247" i="15"/>
  <c r="L246" i="15"/>
  <c r="L245" i="15"/>
  <c r="L244" i="15"/>
  <c r="P243" i="15"/>
  <c r="N243" i="15"/>
  <c r="J242" i="15"/>
  <c r="K241" i="15"/>
  <c r="J241" i="15"/>
  <c r="I241" i="15"/>
  <c r="J240" i="15"/>
  <c r="I240" i="15"/>
  <c r="K240" i="15" s="1"/>
  <c r="J238" i="15"/>
  <c r="N236" i="15"/>
  <c r="N235" i="15"/>
  <c r="N234" i="15"/>
  <c r="N233" i="15"/>
  <c r="N232" i="15"/>
  <c r="I230" i="15"/>
  <c r="K230" i="15" s="1"/>
  <c r="I229" i="15"/>
  <c r="I221" i="15" s="1"/>
  <c r="K221" i="15" s="1"/>
  <c r="I228" i="15"/>
  <c r="K228" i="15" s="1"/>
  <c r="L225" i="15"/>
  <c r="L224" i="15"/>
  <c r="L223" i="15"/>
  <c r="P222" i="15"/>
  <c r="N222" i="15"/>
  <c r="J221" i="15"/>
  <c r="I220" i="15"/>
  <c r="I219" i="15"/>
  <c r="K219" i="15" s="1"/>
  <c r="Q217" i="15"/>
  <c r="L217" i="15"/>
  <c r="L216" i="15"/>
  <c r="L215" i="15"/>
  <c r="U214" i="15"/>
  <c r="S214" i="15"/>
  <c r="Q214" i="15"/>
  <c r="T214" i="15" s="1"/>
  <c r="P214" i="15"/>
  <c r="N214" i="15"/>
  <c r="J213" i="15"/>
  <c r="I212" i="15"/>
  <c r="K212" i="15" s="1"/>
  <c r="I211" i="15"/>
  <c r="K211" i="15" s="1"/>
  <c r="I209" i="15"/>
  <c r="K209" i="15" s="1"/>
  <c r="L207" i="15"/>
  <c r="Q206" i="15"/>
  <c r="Q203" i="15" s="1"/>
  <c r="T203" i="15" s="1"/>
  <c r="L206" i="15"/>
  <c r="L205" i="15"/>
  <c r="L204" i="15"/>
  <c r="U203" i="15"/>
  <c r="S203" i="15"/>
  <c r="P203" i="15"/>
  <c r="N203" i="15"/>
  <c r="J202" i="15"/>
  <c r="J199" i="15"/>
  <c r="I198" i="15"/>
  <c r="K198" i="15" s="1"/>
  <c r="P196" i="15"/>
  <c r="L196" i="15"/>
  <c r="O196" i="15" s="1"/>
  <c r="J195" i="15"/>
  <c r="S194" i="15"/>
  <c r="R194" i="15"/>
  <c r="R192" i="15" s="1"/>
  <c r="U192" i="15" s="1"/>
  <c r="Q194" i="15"/>
  <c r="Q192" i="15" s="1"/>
  <c r="T192" i="15" s="1"/>
  <c r="N194" i="15"/>
  <c r="N192" i="15" s="1"/>
  <c r="M194" i="15"/>
  <c r="M192" i="15" s="1"/>
  <c r="P192" i="15" s="1"/>
  <c r="L194" i="15"/>
  <c r="U193" i="15"/>
  <c r="T193" i="15"/>
  <c r="P193" i="15"/>
  <c r="O193" i="15"/>
  <c r="S191" i="15"/>
  <c r="S189" i="15" s="1"/>
  <c r="R191" i="15"/>
  <c r="Q191" i="15"/>
  <c r="N191" i="15"/>
  <c r="M191" i="15"/>
  <c r="M189" i="15" s="1"/>
  <c r="L191" i="15"/>
  <c r="U190" i="15"/>
  <c r="T190" i="15"/>
  <c r="P190" i="15"/>
  <c r="O190" i="15"/>
  <c r="S187" i="15"/>
  <c r="R187" i="15"/>
  <c r="U187" i="15" s="1"/>
  <c r="Q187" i="15"/>
  <c r="T187" i="15" s="1"/>
  <c r="P187" i="15"/>
  <c r="N187" i="15"/>
  <c r="M187" i="15"/>
  <c r="L187" i="15"/>
  <c r="O187" i="15" s="1"/>
  <c r="K184" i="15"/>
  <c r="I183" i="15"/>
  <c r="K183" i="15" s="1"/>
  <c r="U181" i="15"/>
  <c r="T181" i="15"/>
  <c r="N181" i="15"/>
  <c r="N179" i="15" s="1"/>
  <c r="M181" i="15"/>
  <c r="L181" i="15"/>
  <c r="U180" i="15"/>
  <c r="T180" i="15"/>
  <c r="P180" i="15"/>
  <c r="O180" i="15"/>
  <c r="T179" i="15"/>
  <c r="S179" i="15"/>
  <c r="R179" i="15"/>
  <c r="U179" i="15" s="1"/>
  <c r="Q179" i="15"/>
  <c r="S178" i="15"/>
  <c r="R178" i="15"/>
  <c r="R175" i="15" s="1"/>
  <c r="Q178" i="15"/>
  <c r="N178" i="15"/>
  <c r="N176" i="15" s="1"/>
  <c r="M178" i="15"/>
  <c r="M176" i="15" s="1"/>
  <c r="L178" i="15"/>
  <c r="U177" i="15"/>
  <c r="T177" i="15"/>
  <c r="P177" i="15"/>
  <c r="O177" i="15"/>
  <c r="U174" i="15"/>
  <c r="T174" i="15"/>
  <c r="S174" i="15"/>
  <c r="R174" i="15"/>
  <c r="Q174" i="15"/>
  <c r="P174" i="15"/>
  <c r="O174" i="15"/>
  <c r="N174" i="15"/>
  <c r="M174" i="15"/>
  <c r="L174" i="15"/>
  <c r="J172" i="15"/>
  <c r="I167" i="15"/>
  <c r="K167" i="15" s="1"/>
  <c r="U165" i="15"/>
  <c r="T165" i="15"/>
  <c r="N165" i="15"/>
  <c r="N163" i="15" s="1"/>
  <c r="M165" i="15"/>
  <c r="P165" i="15" s="1"/>
  <c r="L165" i="15"/>
  <c r="U164" i="15"/>
  <c r="T164" i="15"/>
  <c r="P164" i="15"/>
  <c r="O164" i="15"/>
  <c r="U163" i="15"/>
  <c r="T163" i="15"/>
  <c r="S163" i="15"/>
  <c r="R163" i="15"/>
  <c r="Q163" i="15"/>
  <c r="S162" i="15"/>
  <c r="S160" i="15" s="1"/>
  <c r="R162" i="15"/>
  <c r="R160" i="15" s="1"/>
  <c r="U160" i="15" s="1"/>
  <c r="Q162" i="15"/>
  <c r="N162" i="15"/>
  <c r="N160" i="15" s="1"/>
  <c r="M162" i="15"/>
  <c r="L162" i="15"/>
  <c r="L160" i="15" s="1"/>
  <c r="U161" i="15"/>
  <c r="T161" i="15"/>
  <c r="P161" i="15"/>
  <c r="O161" i="15"/>
  <c r="U158" i="15"/>
  <c r="S158" i="15"/>
  <c r="R158" i="15"/>
  <c r="Q158" i="15"/>
  <c r="T158" i="15" s="1"/>
  <c r="O158" i="15"/>
  <c r="N158" i="15"/>
  <c r="M158" i="15"/>
  <c r="P158" i="15" s="1"/>
  <c r="L158" i="15"/>
  <c r="J156" i="15"/>
  <c r="I154" i="15"/>
  <c r="K154" i="15" s="1"/>
  <c r="I153" i="15"/>
  <c r="K153" i="15" s="1"/>
  <c r="I152" i="15"/>
  <c r="I151" i="15"/>
  <c r="K151" i="15" s="1"/>
  <c r="I150" i="15"/>
  <c r="K150" i="15" s="1"/>
  <c r="S147" i="15"/>
  <c r="S145" i="15" s="1"/>
  <c r="R147" i="15"/>
  <c r="U147" i="15" s="1"/>
  <c r="Q147" i="15"/>
  <c r="N147" i="15"/>
  <c r="N145" i="15" s="1"/>
  <c r="M147" i="15"/>
  <c r="M145" i="15" s="1"/>
  <c r="P145" i="15" s="1"/>
  <c r="L147" i="15"/>
  <c r="O147" i="15" s="1"/>
  <c r="U146" i="15"/>
  <c r="T146" i="15"/>
  <c r="P146" i="15"/>
  <c r="O146" i="15"/>
  <c r="S144" i="15"/>
  <c r="S142" i="15" s="1"/>
  <c r="R144" i="15"/>
  <c r="R142" i="15" s="1"/>
  <c r="Q144" i="15"/>
  <c r="Q142" i="15" s="1"/>
  <c r="N144" i="15"/>
  <c r="M144" i="15"/>
  <c r="M142" i="15" s="1"/>
  <c r="L144" i="15"/>
  <c r="L142" i="15" s="1"/>
  <c r="U143" i="15"/>
  <c r="T143" i="15"/>
  <c r="P143" i="15"/>
  <c r="O143" i="15"/>
  <c r="S140" i="15"/>
  <c r="R140" i="15"/>
  <c r="U140" i="15" s="1"/>
  <c r="Q140" i="15"/>
  <c r="P140" i="15"/>
  <c r="N140" i="15"/>
  <c r="M140" i="15"/>
  <c r="L140" i="15"/>
  <c r="O140" i="15" s="1"/>
  <c r="J138" i="15"/>
  <c r="J137" i="15"/>
  <c r="J136" i="15"/>
  <c r="I130" i="15"/>
  <c r="K130" i="15" s="1"/>
  <c r="I129" i="15"/>
  <c r="K129" i="15" s="1"/>
  <c r="I128" i="15"/>
  <c r="K128" i="15" s="1"/>
  <c r="I127" i="15"/>
  <c r="K127" i="15" s="1"/>
  <c r="S125" i="15"/>
  <c r="S123" i="15" s="1"/>
  <c r="R125" i="15"/>
  <c r="R123" i="15" s="1"/>
  <c r="U123" i="15" s="1"/>
  <c r="Q125" i="15"/>
  <c r="N125" i="15"/>
  <c r="N123" i="15" s="1"/>
  <c r="M125" i="15"/>
  <c r="P125" i="15" s="1"/>
  <c r="L125" i="15"/>
  <c r="L123" i="15" s="1"/>
  <c r="O123" i="15" s="1"/>
  <c r="U124" i="15"/>
  <c r="T124" i="15"/>
  <c r="P124" i="15"/>
  <c r="O124" i="15"/>
  <c r="S122" i="15"/>
  <c r="R122" i="15"/>
  <c r="R120" i="15" s="1"/>
  <c r="Q122" i="15"/>
  <c r="Q120" i="15" s="1"/>
  <c r="N122" i="15"/>
  <c r="N120" i="15" s="1"/>
  <c r="M122" i="15"/>
  <c r="P122" i="15" s="1"/>
  <c r="L122" i="15"/>
  <c r="U121" i="15"/>
  <c r="T121" i="15"/>
  <c r="P121" i="15"/>
  <c r="O121" i="15"/>
  <c r="U118" i="15"/>
  <c r="S118" i="15"/>
  <c r="R118" i="15"/>
  <c r="Q118" i="15"/>
  <c r="T118" i="15" s="1"/>
  <c r="O118" i="15"/>
  <c r="N118" i="15"/>
  <c r="M118" i="15"/>
  <c r="P118" i="15" s="1"/>
  <c r="L118" i="15"/>
  <c r="J116" i="15"/>
  <c r="I114" i="15"/>
  <c r="K114" i="15" s="1"/>
  <c r="I113" i="15"/>
  <c r="K113" i="15" s="1"/>
  <c r="I109" i="15"/>
  <c r="K109" i="15" s="1"/>
  <c r="I108" i="15"/>
  <c r="U102" i="15"/>
  <c r="T102" i="15"/>
  <c r="N102" i="15"/>
  <c r="N100" i="15" s="1"/>
  <c r="M102" i="15"/>
  <c r="P102" i="15" s="1"/>
  <c r="L102" i="15"/>
  <c r="U101" i="15"/>
  <c r="T101" i="15"/>
  <c r="P101" i="15"/>
  <c r="O101" i="15"/>
  <c r="U100" i="15"/>
  <c r="S100" i="15"/>
  <c r="R100" i="15"/>
  <c r="Q100" i="15"/>
  <c r="T100" i="15" s="1"/>
  <c r="S99" i="15"/>
  <c r="R99" i="15"/>
  <c r="Q99" i="15"/>
  <c r="Q97" i="15" s="1"/>
  <c r="N99" i="15"/>
  <c r="N97" i="15" s="1"/>
  <c r="M99" i="15"/>
  <c r="L99" i="15"/>
  <c r="L97" i="15" s="1"/>
  <c r="U98" i="15"/>
  <c r="T98" i="15"/>
  <c r="P98" i="15"/>
  <c r="O98" i="15"/>
  <c r="U95" i="15"/>
  <c r="S95" i="15"/>
  <c r="R95" i="15"/>
  <c r="Q95" i="15"/>
  <c r="T95" i="15" s="1"/>
  <c r="N95" i="15"/>
  <c r="M95" i="15"/>
  <c r="P95" i="15" s="1"/>
  <c r="L95" i="15"/>
  <c r="J93" i="15"/>
  <c r="J92" i="15"/>
  <c r="I90" i="15"/>
  <c r="K90" i="15" s="1"/>
  <c r="I89" i="15"/>
  <c r="K89" i="15" s="1"/>
  <c r="I88" i="15"/>
  <c r="K88" i="15" s="1"/>
  <c r="I87" i="15"/>
  <c r="I86" i="15"/>
  <c r="K86" i="15" s="1"/>
  <c r="I85" i="15"/>
  <c r="K85" i="15" s="1"/>
  <c r="I84" i="15"/>
  <c r="K84" i="15" s="1"/>
  <c r="J83" i="15"/>
  <c r="J71" i="15" s="1"/>
  <c r="J82" i="15"/>
  <c r="S80" i="15"/>
  <c r="S78" i="15" s="1"/>
  <c r="R80" i="15"/>
  <c r="Q80" i="15"/>
  <c r="N80" i="15"/>
  <c r="N78" i="15" s="1"/>
  <c r="M80" i="15"/>
  <c r="P80" i="15" s="1"/>
  <c r="L80" i="15"/>
  <c r="O80" i="15" s="1"/>
  <c r="U79" i="15"/>
  <c r="T79" i="15"/>
  <c r="P79" i="15"/>
  <c r="O79" i="15"/>
  <c r="S77" i="15"/>
  <c r="S75" i="15" s="1"/>
  <c r="R77" i="15"/>
  <c r="R75" i="15" s="1"/>
  <c r="Q77" i="15"/>
  <c r="N77" i="15"/>
  <c r="N75" i="15" s="1"/>
  <c r="M77" i="15"/>
  <c r="L77" i="15"/>
  <c r="L75" i="15" s="1"/>
  <c r="U76" i="15"/>
  <c r="T76" i="15"/>
  <c r="P76" i="15"/>
  <c r="O76" i="15"/>
  <c r="U73" i="15"/>
  <c r="S73" i="15"/>
  <c r="R73" i="15"/>
  <c r="Q73" i="15"/>
  <c r="N73" i="15"/>
  <c r="M73" i="15"/>
  <c r="P73" i="15" s="1"/>
  <c r="L73" i="15"/>
  <c r="O73" i="15" s="1"/>
  <c r="J70" i="15"/>
  <c r="U67" i="15"/>
  <c r="T67" i="15"/>
  <c r="N67" i="15"/>
  <c r="N65" i="15" s="1"/>
  <c r="M67" i="15"/>
  <c r="L67" i="15"/>
  <c r="L65" i="15" s="1"/>
  <c r="O65" i="15" s="1"/>
  <c r="U66" i="15"/>
  <c r="T66" i="15"/>
  <c r="P66" i="15"/>
  <c r="O66" i="15"/>
  <c r="U65" i="15"/>
  <c r="T65" i="15"/>
  <c r="S65" i="15"/>
  <c r="R65" i="15"/>
  <c r="Q65" i="15"/>
  <c r="U64" i="15"/>
  <c r="T64" i="15"/>
  <c r="N64" i="15"/>
  <c r="N62" i="15" s="1"/>
  <c r="M64" i="15"/>
  <c r="M62" i="15" s="1"/>
  <c r="L64" i="15"/>
  <c r="L62" i="15" s="1"/>
  <c r="U63" i="15"/>
  <c r="T63" i="15"/>
  <c r="P63" i="15"/>
  <c r="O63" i="15"/>
  <c r="S62" i="15"/>
  <c r="R62" i="15"/>
  <c r="U62" i="15" s="1"/>
  <c r="Q62" i="15"/>
  <c r="T62" i="15" s="1"/>
  <c r="U61" i="15"/>
  <c r="T61" i="15"/>
  <c r="S61" i="15"/>
  <c r="R61" i="15"/>
  <c r="Q61" i="15"/>
  <c r="U60" i="15"/>
  <c r="S60" i="15"/>
  <c r="R60" i="15"/>
  <c r="R59" i="15" s="1"/>
  <c r="U59" i="15" s="1"/>
  <c r="Q60" i="15"/>
  <c r="T60" i="15" s="1"/>
  <c r="N60" i="15"/>
  <c r="M60" i="15"/>
  <c r="P60" i="15" s="1"/>
  <c r="L60" i="15"/>
  <c r="O60" i="15" s="1"/>
  <c r="S59" i="15"/>
  <c r="Q59" i="15"/>
  <c r="T59" i="15" s="1"/>
  <c r="U52" i="15"/>
  <c r="T52" i="15"/>
  <c r="N52" i="15"/>
  <c r="N50" i="15" s="1"/>
  <c r="M52" i="15"/>
  <c r="M50" i="15" s="1"/>
  <c r="P50" i="15" s="1"/>
  <c r="L52" i="15"/>
  <c r="L50" i="15" s="1"/>
  <c r="O50" i="15" s="1"/>
  <c r="U51" i="15"/>
  <c r="T51" i="15"/>
  <c r="P51" i="15"/>
  <c r="O51" i="15"/>
  <c r="T50" i="15"/>
  <c r="S50" i="15"/>
  <c r="R50" i="15"/>
  <c r="U50" i="15" s="1"/>
  <c r="Q50" i="15"/>
  <c r="U49" i="15"/>
  <c r="T49" i="15"/>
  <c r="N49" i="15"/>
  <c r="N47" i="15" s="1"/>
  <c r="M49" i="15"/>
  <c r="L49" i="15"/>
  <c r="L47" i="15" s="1"/>
  <c r="U48" i="15"/>
  <c r="T48" i="15"/>
  <c r="P48" i="15"/>
  <c r="O48" i="15"/>
  <c r="U47" i="15"/>
  <c r="S47" i="15"/>
  <c r="R47" i="15"/>
  <c r="Q47" i="15"/>
  <c r="T47" i="15" s="1"/>
  <c r="U46" i="15"/>
  <c r="S46" i="15"/>
  <c r="S44" i="15" s="1"/>
  <c r="R46" i="15"/>
  <c r="Q46" i="15"/>
  <c r="T46" i="15" s="1"/>
  <c r="T45" i="15"/>
  <c r="S45" i="15"/>
  <c r="R45" i="15"/>
  <c r="U45" i="15" s="1"/>
  <c r="Q45" i="15"/>
  <c r="Q44" i="15" s="1"/>
  <c r="T44" i="15" s="1"/>
  <c r="O45" i="15"/>
  <c r="N45" i="15"/>
  <c r="M45" i="15"/>
  <c r="P45" i="15" s="1"/>
  <c r="L45" i="15"/>
  <c r="R44" i="15"/>
  <c r="U44" i="15" s="1"/>
  <c r="S25" i="15"/>
  <c r="R25" i="15"/>
  <c r="U25" i="15" s="1"/>
  <c r="Q25" i="15"/>
  <c r="T25" i="15" s="1"/>
  <c r="P25" i="15"/>
  <c r="N25" i="15"/>
  <c r="M25" i="15"/>
  <c r="L25" i="15"/>
  <c r="O25" i="15" s="1"/>
  <c r="T22" i="15"/>
  <c r="S22" i="15"/>
  <c r="R22" i="15"/>
  <c r="U22" i="15" s="1"/>
  <c r="Q22" i="15"/>
  <c r="N22" i="15"/>
  <c r="M22" i="15"/>
  <c r="L22" i="15"/>
  <c r="O22" i="15" s="1"/>
  <c r="R19" i="15"/>
  <c r="U19" i="15" s="1"/>
  <c r="Q19" i="15"/>
  <c r="T19" i="15" s="1"/>
  <c r="N19" i="15"/>
  <c r="A789" i="14"/>
  <c r="A788" i="14"/>
  <c r="J785" i="14"/>
  <c r="I785" i="14"/>
  <c r="J784" i="14"/>
  <c r="I784" i="14"/>
  <c r="J783" i="14"/>
  <c r="I783" i="14"/>
  <c r="K783" i="14" s="1"/>
  <c r="J782" i="14"/>
  <c r="I782" i="14"/>
  <c r="K782" i="14" s="1"/>
  <c r="J781" i="14"/>
  <c r="I781" i="14"/>
  <c r="J780" i="14"/>
  <c r="I780" i="14"/>
  <c r="J779" i="14"/>
  <c r="I779" i="14"/>
  <c r="J778" i="14"/>
  <c r="I778" i="14"/>
  <c r="H777" i="14"/>
  <c r="I776" i="14"/>
  <c r="I775" i="14"/>
  <c r="I774" i="14"/>
  <c r="I772" i="14"/>
  <c r="K772" i="14" s="1"/>
  <c r="I770" i="14"/>
  <c r="K770" i="14" s="1"/>
  <c r="U768" i="14"/>
  <c r="T768" i="14"/>
  <c r="P768" i="14"/>
  <c r="O768" i="14"/>
  <c r="U767" i="14"/>
  <c r="T767" i="14"/>
  <c r="P767" i="14"/>
  <c r="O767" i="14"/>
  <c r="U766" i="14"/>
  <c r="S766" i="14"/>
  <c r="R766" i="14"/>
  <c r="Q766" i="14"/>
  <c r="T766" i="14" s="1"/>
  <c r="O766" i="14"/>
  <c r="N766" i="14"/>
  <c r="M766" i="14"/>
  <c r="P766" i="14" s="1"/>
  <c r="L766" i="14"/>
  <c r="S765" i="14"/>
  <c r="S763" i="14" s="1"/>
  <c r="R765" i="14"/>
  <c r="Q765" i="14"/>
  <c r="T765" i="14" s="1"/>
  <c r="P765" i="14"/>
  <c r="O765" i="14"/>
  <c r="U764" i="14"/>
  <c r="T764" i="14"/>
  <c r="P764" i="14"/>
  <c r="O764" i="14"/>
  <c r="P763" i="14"/>
  <c r="N763" i="14"/>
  <c r="M763" i="14"/>
  <c r="L763" i="14"/>
  <c r="O763" i="14" s="1"/>
  <c r="P762" i="14"/>
  <c r="N762" i="14"/>
  <c r="M762" i="14"/>
  <c r="L762" i="14"/>
  <c r="T761" i="14"/>
  <c r="S761" i="14"/>
  <c r="R761" i="14"/>
  <c r="U761" i="14" s="1"/>
  <c r="Q761" i="14"/>
  <c r="P761" i="14"/>
  <c r="N761" i="14"/>
  <c r="M761" i="14"/>
  <c r="M760" i="14" s="1"/>
  <c r="P760" i="14" s="1"/>
  <c r="L761" i="14"/>
  <c r="O761" i="14" s="1"/>
  <c r="N760" i="14"/>
  <c r="J759" i="14"/>
  <c r="J758" i="14"/>
  <c r="I755" i="14"/>
  <c r="K755" i="14" s="1"/>
  <c r="I752" i="14"/>
  <c r="K752" i="14" s="1"/>
  <c r="I749" i="14"/>
  <c r="K749" i="14" s="1"/>
  <c r="I746" i="14"/>
  <c r="K746" i="14" s="1"/>
  <c r="I744" i="14"/>
  <c r="K744" i="14" s="1"/>
  <c r="I742" i="14"/>
  <c r="K742" i="14" s="1"/>
  <c r="I740" i="14"/>
  <c r="K740" i="14" s="1"/>
  <c r="U736" i="14"/>
  <c r="T736" i="14"/>
  <c r="P736" i="14"/>
  <c r="O736" i="14"/>
  <c r="U735" i="14"/>
  <c r="T735" i="14"/>
  <c r="P735" i="14"/>
  <c r="O735" i="14"/>
  <c r="T734" i="14"/>
  <c r="S734" i="14"/>
  <c r="R734" i="14"/>
  <c r="U734" i="14" s="1"/>
  <c r="Q734" i="14"/>
  <c r="P734" i="14"/>
  <c r="N734" i="14"/>
  <c r="M734" i="14"/>
  <c r="L734" i="14"/>
  <c r="O734" i="14" s="1"/>
  <c r="S733" i="14"/>
  <c r="S730" i="14" s="1"/>
  <c r="S728" i="14" s="1"/>
  <c r="R733" i="14"/>
  <c r="R731" i="14" s="1"/>
  <c r="Q733" i="14"/>
  <c r="Q731" i="14" s="1"/>
  <c r="P733" i="14"/>
  <c r="O733" i="14"/>
  <c r="U732" i="14"/>
  <c r="T732" i="14"/>
  <c r="P732" i="14"/>
  <c r="O732" i="14"/>
  <c r="O731" i="14"/>
  <c r="N731" i="14"/>
  <c r="M731" i="14"/>
  <c r="P731" i="14" s="1"/>
  <c r="L731" i="14"/>
  <c r="O730" i="14"/>
  <c r="N730" i="14"/>
  <c r="N728" i="14" s="1"/>
  <c r="M730" i="14"/>
  <c r="P730" i="14" s="1"/>
  <c r="L730" i="14"/>
  <c r="U729" i="14"/>
  <c r="S729" i="14"/>
  <c r="R729" i="14"/>
  <c r="Q729" i="14"/>
  <c r="T729" i="14" s="1"/>
  <c r="O729" i="14"/>
  <c r="N729" i="14"/>
  <c r="M729" i="14"/>
  <c r="P729" i="14" s="1"/>
  <c r="L729" i="14"/>
  <c r="L728" i="14" s="1"/>
  <c r="O728" i="14" s="1"/>
  <c r="M728" i="14"/>
  <c r="P728" i="14" s="1"/>
  <c r="J727" i="14"/>
  <c r="I727" i="14"/>
  <c r="J726" i="14"/>
  <c r="I726" i="14"/>
  <c r="U722" i="14"/>
  <c r="T722" i="14"/>
  <c r="P722" i="14"/>
  <c r="O722" i="14"/>
  <c r="U721" i="14"/>
  <c r="T721" i="14"/>
  <c r="P721" i="14"/>
  <c r="O721" i="14"/>
  <c r="U720" i="14"/>
  <c r="S720" i="14"/>
  <c r="R720" i="14"/>
  <c r="Q720" i="14"/>
  <c r="T720" i="14" s="1"/>
  <c r="O720" i="14"/>
  <c r="N720" i="14"/>
  <c r="M720" i="14"/>
  <c r="P720" i="14" s="1"/>
  <c r="L720" i="14"/>
  <c r="U719" i="14"/>
  <c r="T719" i="14"/>
  <c r="P719" i="14"/>
  <c r="O719" i="14"/>
  <c r="U718" i="14"/>
  <c r="T718" i="14"/>
  <c r="P718" i="14"/>
  <c r="O718" i="14"/>
  <c r="U717" i="14"/>
  <c r="S717" i="14"/>
  <c r="R717" i="14"/>
  <c r="Q717" i="14"/>
  <c r="T717" i="14" s="1"/>
  <c r="O717" i="14"/>
  <c r="N717" i="14"/>
  <c r="M717" i="14"/>
  <c r="P717" i="14" s="1"/>
  <c r="L717" i="14"/>
  <c r="U716" i="14"/>
  <c r="S716" i="14"/>
  <c r="R716" i="14"/>
  <c r="Q716" i="14"/>
  <c r="O716" i="14"/>
  <c r="N716" i="14"/>
  <c r="N714" i="14" s="1"/>
  <c r="M716" i="14"/>
  <c r="P716" i="14" s="1"/>
  <c r="L716" i="14"/>
  <c r="U715" i="14"/>
  <c r="S715" i="14"/>
  <c r="R715" i="14"/>
  <c r="R714" i="14" s="1"/>
  <c r="U714" i="14" s="1"/>
  <c r="Q715" i="14"/>
  <c r="T715" i="14" s="1"/>
  <c r="O715" i="14"/>
  <c r="N715" i="14"/>
  <c r="M715" i="14"/>
  <c r="P715" i="14" s="1"/>
  <c r="L715" i="14"/>
  <c r="L714" i="14" s="1"/>
  <c r="O714" i="14" s="1"/>
  <c r="S714" i="14"/>
  <c r="M714" i="14"/>
  <c r="P714" i="14" s="1"/>
  <c r="K712" i="14"/>
  <c r="J712" i="14"/>
  <c r="K710" i="14"/>
  <c r="J710" i="14"/>
  <c r="J709" i="14"/>
  <c r="I709" i="14"/>
  <c r="K708" i="14"/>
  <c r="J708" i="14"/>
  <c r="J707" i="14"/>
  <c r="I707" i="14"/>
  <c r="K707" i="14" s="1"/>
  <c r="K706" i="14"/>
  <c r="J706" i="14"/>
  <c r="J705" i="14"/>
  <c r="I705" i="14"/>
  <c r="K704" i="14"/>
  <c r="J704" i="14"/>
  <c r="J703" i="14"/>
  <c r="I703" i="14"/>
  <c r="K703" i="14" s="1"/>
  <c r="K702" i="14"/>
  <c r="I700" i="14"/>
  <c r="K700" i="14" s="1"/>
  <c r="U698" i="14"/>
  <c r="T698" i="14"/>
  <c r="P698" i="14"/>
  <c r="O698" i="14"/>
  <c r="U697" i="14"/>
  <c r="T697" i="14"/>
  <c r="P697" i="14"/>
  <c r="O697" i="14"/>
  <c r="T696" i="14"/>
  <c r="S696" i="14"/>
  <c r="R696" i="14"/>
  <c r="U696" i="14" s="1"/>
  <c r="Q696" i="14"/>
  <c r="P696" i="14"/>
  <c r="N696" i="14"/>
  <c r="M696" i="14"/>
  <c r="L696" i="14"/>
  <c r="O696" i="14" s="1"/>
  <c r="S695" i="14"/>
  <c r="S693" i="14" s="1"/>
  <c r="R695" i="14"/>
  <c r="R693" i="14" s="1"/>
  <c r="Q695" i="14"/>
  <c r="Q692" i="14" s="1"/>
  <c r="P695" i="14"/>
  <c r="O695" i="14"/>
  <c r="U694" i="14"/>
  <c r="T694" i="14"/>
  <c r="P694" i="14"/>
  <c r="O694" i="14"/>
  <c r="O693" i="14"/>
  <c r="N693" i="14"/>
  <c r="M693" i="14"/>
  <c r="P693" i="14" s="1"/>
  <c r="L693" i="14"/>
  <c r="R692" i="14"/>
  <c r="R690" i="14" s="1"/>
  <c r="O692" i="14"/>
  <c r="N692" i="14"/>
  <c r="M692" i="14"/>
  <c r="L692" i="14"/>
  <c r="U691" i="14"/>
  <c r="S691" i="14"/>
  <c r="R691" i="14"/>
  <c r="Q691" i="14"/>
  <c r="O691" i="14"/>
  <c r="N691" i="14"/>
  <c r="N690" i="14" s="1"/>
  <c r="M691" i="14"/>
  <c r="P691" i="14" s="1"/>
  <c r="L691" i="14"/>
  <c r="O690" i="14"/>
  <c r="L690" i="14"/>
  <c r="J682" i="14"/>
  <c r="I682" i="14"/>
  <c r="K682" i="14" s="1"/>
  <c r="J681" i="14"/>
  <c r="I681" i="14"/>
  <c r="K681" i="14" s="1"/>
  <c r="J680" i="14"/>
  <c r="J679" i="14"/>
  <c r="I679" i="14"/>
  <c r="K679" i="14" s="1"/>
  <c r="J678" i="14"/>
  <c r="I678" i="14"/>
  <c r="K678" i="14" s="1"/>
  <c r="J677" i="14"/>
  <c r="J676" i="14"/>
  <c r="I676" i="14"/>
  <c r="K676" i="14" s="1"/>
  <c r="I675" i="14"/>
  <c r="K675" i="14" s="1"/>
  <c r="I674" i="14"/>
  <c r="K674" i="14" s="1"/>
  <c r="J673" i="14"/>
  <c r="I673" i="14"/>
  <c r="K673" i="14" s="1"/>
  <c r="J672" i="14"/>
  <c r="J671" i="14"/>
  <c r="J661" i="14"/>
  <c r="I661" i="14"/>
  <c r="K661" i="14" s="1"/>
  <c r="I660" i="14"/>
  <c r="I657" i="14"/>
  <c r="J654" i="14"/>
  <c r="I654" i="14"/>
  <c r="K654" i="14" s="1"/>
  <c r="J653" i="14"/>
  <c r="I653" i="14"/>
  <c r="K653" i="14" s="1"/>
  <c r="J652" i="14"/>
  <c r="I652" i="14"/>
  <c r="K652" i="14" s="1"/>
  <c r="U650" i="14"/>
  <c r="T650" i="14"/>
  <c r="P650" i="14"/>
  <c r="O650" i="14"/>
  <c r="U649" i="14"/>
  <c r="T649" i="14"/>
  <c r="P649" i="14"/>
  <c r="O649" i="14"/>
  <c r="T648" i="14"/>
  <c r="S648" i="14"/>
  <c r="R648" i="14"/>
  <c r="U648" i="14" s="1"/>
  <c r="Q648" i="14"/>
  <c r="N648" i="14"/>
  <c r="M648" i="14"/>
  <c r="P648" i="14" s="1"/>
  <c r="L648" i="14"/>
  <c r="O648" i="14" s="1"/>
  <c r="S647" i="14"/>
  <c r="S644" i="14" s="1"/>
  <c r="S642" i="14" s="1"/>
  <c r="R647" i="14"/>
  <c r="U647" i="14" s="1"/>
  <c r="Q647" i="14"/>
  <c r="Q644" i="14" s="1"/>
  <c r="T644" i="14" s="1"/>
  <c r="P647" i="14"/>
  <c r="O647" i="14"/>
  <c r="U646" i="14"/>
  <c r="T646" i="14"/>
  <c r="P646" i="14"/>
  <c r="O646" i="14"/>
  <c r="P645" i="14"/>
  <c r="O645" i="14"/>
  <c r="N645" i="14"/>
  <c r="M645" i="14"/>
  <c r="L645" i="14"/>
  <c r="N644" i="14"/>
  <c r="M644" i="14"/>
  <c r="L644" i="14"/>
  <c r="O644" i="14" s="1"/>
  <c r="U643" i="14"/>
  <c r="S643" i="14"/>
  <c r="R643" i="14"/>
  <c r="Q643" i="14"/>
  <c r="P643" i="14"/>
  <c r="O643" i="14"/>
  <c r="N643" i="14"/>
  <c r="M643" i="14"/>
  <c r="L643" i="14"/>
  <c r="O642" i="14"/>
  <c r="N642" i="14"/>
  <c r="L642" i="14"/>
  <c r="J636" i="14"/>
  <c r="J635" i="14"/>
  <c r="I635" i="14"/>
  <c r="K635" i="14" s="1"/>
  <c r="J632" i="14"/>
  <c r="I628" i="14"/>
  <c r="K628" i="14" s="1"/>
  <c r="I627" i="14"/>
  <c r="K627" i="14" s="1"/>
  <c r="J626" i="14"/>
  <c r="I626" i="14"/>
  <c r="I615" i="14" s="1"/>
  <c r="U624" i="14"/>
  <c r="T624" i="14"/>
  <c r="P624" i="14"/>
  <c r="O624" i="14"/>
  <c r="U623" i="14"/>
  <c r="T623" i="14"/>
  <c r="P623" i="14"/>
  <c r="O623" i="14"/>
  <c r="S622" i="14"/>
  <c r="R622" i="14"/>
  <c r="U622" i="14" s="1"/>
  <c r="Q622" i="14"/>
  <c r="T622" i="14" s="1"/>
  <c r="N622" i="14"/>
  <c r="M622" i="14"/>
  <c r="P622" i="14" s="1"/>
  <c r="L622" i="14"/>
  <c r="O622" i="14" s="1"/>
  <c r="S621" i="14"/>
  <c r="R621" i="14"/>
  <c r="R618" i="14" s="1"/>
  <c r="Q621" i="14"/>
  <c r="P621" i="14"/>
  <c r="O621" i="14"/>
  <c r="U620" i="14"/>
  <c r="T620" i="14"/>
  <c r="P620" i="14"/>
  <c r="O620" i="14"/>
  <c r="P619" i="14"/>
  <c r="N619" i="14"/>
  <c r="M619" i="14"/>
  <c r="L619" i="14"/>
  <c r="O619" i="14" s="1"/>
  <c r="O618" i="14"/>
  <c r="N618" i="14"/>
  <c r="N616" i="14" s="1"/>
  <c r="M618" i="14"/>
  <c r="P618" i="14" s="1"/>
  <c r="L618" i="14"/>
  <c r="T617" i="14"/>
  <c r="S617" i="14"/>
  <c r="R617" i="14"/>
  <c r="Q617" i="14"/>
  <c r="N617" i="14"/>
  <c r="M617" i="14"/>
  <c r="P617" i="14" s="1"/>
  <c r="L617" i="14"/>
  <c r="P616" i="14"/>
  <c r="M616" i="14"/>
  <c r="J615" i="14"/>
  <c r="S607" i="14"/>
  <c r="S605" i="14" s="1"/>
  <c r="R607" i="14"/>
  <c r="U607" i="14" s="1"/>
  <c r="Q607" i="14"/>
  <c r="N607" i="14"/>
  <c r="N605" i="14" s="1"/>
  <c r="M607" i="14"/>
  <c r="P607" i="14" s="1"/>
  <c r="L607" i="14"/>
  <c r="O607" i="14" s="1"/>
  <c r="U606" i="14"/>
  <c r="T606" i="14"/>
  <c r="P606" i="14"/>
  <c r="O606" i="14"/>
  <c r="S604" i="14"/>
  <c r="S602" i="14" s="1"/>
  <c r="R604" i="14"/>
  <c r="Q604" i="14"/>
  <c r="N604" i="14"/>
  <c r="M604" i="14"/>
  <c r="L604" i="14"/>
  <c r="O604" i="14" s="1"/>
  <c r="U603" i="14"/>
  <c r="T603" i="14"/>
  <c r="P603" i="14"/>
  <c r="O603" i="14"/>
  <c r="U600" i="14"/>
  <c r="S600" i="14"/>
  <c r="R600" i="14"/>
  <c r="Q600" i="14"/>
  <c r="T600" i="14" s="1"/>
  <c r="P600" i="14"/>
  <c r="O600" i="14"/>
  <c r="N600" i="14"/>
  <c r="M600" i="14"/>
  <c r="L600" i="14"/>
  <c r="U584" i="14"/>
  <c r="T584" i="14"/>
  <c r="N584" i="14"/>
  <c r="M584" i="14"/>
  <c r="P584" i="14" s="1"/>
  <c r="L584" i="14"/>
  <c r="L582" i="14" s="1"/>
  <c r="O582" i="14" s="1"/>
  <c r="U583" i="14"/>
  <c r="T583" i="14"/>
  <c r="P583" i="14"/>
  <c r="O583" i="14"/>
  <c r="U582" i="14"/>
  <c r="T582" i="14"/>
  <c r="S582" i="14"/>
  <c r="R582" i="14"/>
  <c r="Q582" i="14"/>
  <c r="U581" i="14"/>
  <c r="T581" i="14"/>
  <c r="N581" i="14"/>
  <c r="N579" i="14" s="1"/>
  <c r="M581" i="14"/>
  <c r="P581" i="14" s="1"/>
  <c r="L581" i="14"/>
  <c r="U580" i="14"/>
  <c r="T580" i="14"/>
  <c r="P580" i="14"/>
  <c r="O580" i="14"/>
  <c r="S579" i="14"/>
  <c r="R579" i="14"/>
  <c r="U579" i="14" s="1"/>
  <c r="Q579" i="14"/>
  <c r="T579" i="14" s="1"/>
  <c r="U578" i="14"/>
  <c r="S578" i="14"/>
  <c r="R578" i="14"/>
  <c r="Q578" i="14"/>
  <c r="U577" i="14"/>
  <c r="T577" i="14"/>
  <c r="S577" i="14"/>
  <c r="R577" i="14"/>
  <c r="Q577" i="14"/>
  <c r="P577" i="14"/>
  <c r="O577" i="14"/>
  <c r="N577" i="14"/>
  <c r="M577" i="14"/>
  <c r="L577" i="14"/>
  <c r="U576" i="14"/>
  <c r="S576" i="14"/>
  <c r="R576" i="14"/>
  <c r="J575" i="14"/>
  <c r="I575" i="14"/>
  <c r="K575" i="14" s="1"/>
  <c r="U563" i="14"/>
  <c r="T563" i="14"/>
  <c r="N563" i="14"/>
  <c r="N561" i="14" s="1"/>
  <c r="M563" i="14"/>
  <c r="P563" i="14" s="1"/>
  <c r="L563" i="14"/>
  <c r="O563" i="14" s="1"/>
  <c r="U562" i="14"/>
  <c r="T562" i="14"/>
  <c r="P562" i="14"/>
  <c r="O562" i="14"/>
  <c r="U561" i="14"/>
  <c r="T561" i="14"/>
  <c r="S561" i="14"/>
  <c r="R561" i="14"/>
  <c r="Q561" i="14"/>
  <c r="U560" i="14"/>
  <c r="T560" i="14"/>
  <c r="N560" i="14"/>
  <c r="M560" i="14"/>
  <c r="P560" i="14" s="1"/>
  <c r="L560" i="14"/>
  <c r="L558" i="14" s="1"/>
  <c r="O558" i="14" s="1"/>
  <c r="U559" i="14"/>
  <c r="T559" i="14"/>
  <c r="P559" i="14"/>
  <c r="O559" i="14"/>
  <c r="S558" i="14"/>
  <c r="R558" i="14"/>
  <c r="U558" i="14" s="1"/>
  <c r="Q558" i="14"/>
  <c r="T558" i="14" s="1"/>
  <c r="T557" i="14"/>
  <c r="S557" i="14"/>
  <c r="R557" i="14"/>
  <c r="U557" i="14" s="1"/>
  <c r="Q557" i="14"/>
  <c r="S556" i="14"/>
  <c r="R556" i="14"/>
  <c r="Q556" i="14"/>
  <c r="T556" i="14" s="1"/>
  <c r="P556" i="14"/>
  <c r="N556" i="14"/>
  <c r="M556" i="14"/>
  <c r="L556" i="14"/>
  <c r="S555" i="14"/>
  <c r="Q555" i="14"/>
  <c r="T555" i="14" s="1"/>
  <c r="J554" i="14"/>
  <c r="I554" i="14"/>
  <c r="K554" i="14" s="1"/>
  <c r="U542" i="14"/>
  <c r="T542" i="14"/>
  <c r="N542" i="14"/>
  <c r="M542" i="14"/>
  <c r="L542" i="14"/>
  <c r="L540" i="14" s="1"/>
  <c r="O540" i="14" s="1"/>
  <c r="U541" i="14"/>
  <c r="T541" i="14"/>
  <c r="P541" i="14"/>
  <c r="O541" i="14"/>
  <c r="U540" i="14"/>
  <c r="T540" i="14"/>
  <c r="S540" i="14"/>
  <c r="R540" i="14"/>
  <c r="Q540" i="14"/>
  <c r="U539" i="14"/>
  <c r="T539" i="14"/>
  <c r="N539" i="14"/>
  <c r="N537" i="14" s="1"/>
  <c r="M539" i="14"/>
  <c r="P539" i="14" s="1"/>
  <c r="L539" i="14"/>
  <c r="O539" i="14" s="1"/>
  <c r="U538" i="14"/>
  <c r="T538" i="14"/>
  <c r="P538" i="14"/>
  <c r="O538" i="14"/>
  <c r="U537" i="14"/>
  <c r="T537" i="14"/>
  <c r="S537" i="14"/>
  <c r="R537" i="14"/>
  <c r="Q537" i="14"/>
  <c r="S536" i="14"/>
  <c r="R536" i="14"/>
  <c r="U536" i="14" s="1"/>
  <c r="Q536" i="14"/>
  <c r="U535" i="14"/>
  <c r="S535" i="14"/>
  <c r="R535" i="14"/>
  <c r="Q535" i="14"/>
  <c r="T535" i="14" s="1"/>
  <c r="P535" i="14"/>
  <c r="O535" i="14"/>
  <c r="N535" i="14"/>
  <c r="M535" i="14"/>
  <c r="L535" i="14"/>
  <c r="S534" i="14"/>
  <c r="R534" i="14"/>
  <c r="U534" i="14" s="1"/>
  <c r="K533" i="14"/>
  <c r="J533" i="14"/>
  <c r="I533" i="14"/>
  <c r="K524" i="14"/>
  <c r="K523" i="14"/>
  <c r="U521" i="14"/>
  <c r="T521" i="14"/>
  <c r="N521" i="14"/>
  <c r="N519" i="14" s="1"/>
  <c r="M521" i="14"/>
  <c r="L521" i="14"/>
  <c r="L519" i="14" s="1"/>
  <c r="O519" i="14" s="1"/>
  <c r="U520" i="14"/>
  <c r="T520" i="14"/>
  <c r="P520" i="14"/>
  <c r="O520" i="14"/>
  <c r="U519" i="14"/>
  <c r="T519" i="14"/>
  <c r="S519" i="14"/>
  <c r="R519" i="14"/>
  <c r="Q519" i="14"/>
  <c r="U518" i="14"/>
  <c r="T518" i="14"/>
  <c r="N518" i="14"/>
  <c r="M518" i="14"/>
  <c r="M516" i="14" s="1"/>
  <c r="P516" i="14" s="1"/>
  <c r="L518" i="14"/>
  <c r="O518" i="14" s="1"/>
  <c r="U517" i="14"/>
  <c r="T517" i="14"/>
  <c r="P517" i="14"/>
  <c r="O517" i="14"/>
  <c r="S516" i="14"/>
  <c r="R516" i="14"/>
  <c r="U516" i="14" s="1"/>
  <c r="Q516" i="14"/>
  <c r="T516" i="14" s="1"/>
  <c r="S515" i="14"/>
  <c r="R515" i="14"/>
  <c r="U515" i="14" s="1"/>
  <c r="Q515" i="14"/>
  <c r="T515" i="14" s="1"/>
  <c r="T514" i="14"/>
  <c r="S514" i="14"/>
  <c r="R514" i="14"/>
  <c r="U514" i="14" s="1"/>
  <c r="Q514" i="14"/>
  <c r="P514" i="14"/>
  <c r="N514" i="14"/>
  <c r="M514" i="14"/>
  <c r="L514" i="14"/>
  <c r="O514" i="14" s="1"/>
  <c r="T513" i="14"/>
  <c r="S513" i="14"/>
  <c r="R513" i="14"/>
  <c r="U513" i="14" s="1"/>
  <c r="Q513" i="14"/>
  <c r="J512" i="14"/>
  <c r="I512" i="14"/>
  <c r="K512" i="14" s="1"/>
  <c r="I509" i="14"/>
  <c r="K509" i="14" s="1"/>
  <c r="K508" i="14"/>
  <c r="I507" i="14"/>
  <c r="K507" i="14" s="1"/>
  <c r="I506" i="14"/>
  <c r="K506" i="14" s="1"/>
  <c r="I505" i="14"/>
  <c r="I504" i="14"/>
  <c r="K504" i="14" s="1"/>
  <c r="I503" i="14"/>
  <c r="K503" i="14" s="1"/>
  <c r="U501" i="14"/>
  <c r="T501" i="14"/>
  <c r="N501" i="14"/>
  <c r="N499" i="14" s="1"/>
  <c r="M501" i="14"/>
  <c r="M499" i="14" s="1"/>
  <c r="P499" i="14" s="1"/>
  <c r="L501" i="14"/>
  <c r="U500" i="14"/>
  <c r="T500" i="14"/>
  <c r="P500" i="14"/>
  <c r="O500" i="14"/>
  <c r="U499" i="14"/>
  <c r="T499" i="14"/>
  <c r="S499" i="14"/>
  <c r="R499" i="14"/>
  <c r="Q499" i="14"/>
  <c r="S498" i="14"/>
  <c r="S496" i="14" s="1"/>
  <c r="R498" i="14"/>
  <c r="Q498" i="14"/>
  <c r="T498" i="14" s="1"/>
  <c r="N498" i="14"/>
  <c r="M498" i="14"/>
  <c r="M496" i="14" s="1"/>
  <c r="P496" i="14" s="1"/>
  <c r="L498" i="14"/>
  <c r="U497" i="14"/>
  <c r="T497" i="14"/>
  <c r="P497" i="14"/>
  <c r="O497" i="14"/>
  <c r="S494" i="14"/>
  <c r="R494" i="14"/>
  <c r="U494" i="14" s="1"/>
  <c r="Q494" i="14"/>
  <c r="T494" i="14" s="1"/>
  <c r="P494" i="14"/>
  <c r="O494" i="14"/>
  <c r="N494" i="14"/>
  <c r="M494" i="14"/>
  <c r="L494" i="14"/>
  <c r="K485" i="14"/>
  <c r="J485" i="14"/>
  <c r="I485" i="14"/>
  <c r="J484" i="14"/>
  <c r="I484" i="14"/>
  <c r="K484" i="14" s="1"/>
  <c r="J483" i="14"/>
  <c r="J482" i="14"/>
  <c r="K477" i="14"/>
  <c r="J477" i="14"/>
  <c r="K476" i="14"/>
  <c r="J476" i="14"/>
  <c r="K475" i="14"/>
  <c r="J475" i="14"/>
  <c r="J468" i="14"/>
  <c r="J467" i="14"/>
  <c r="J460" i="14"/>
  <c r="J459" i="14"/>
  <c r="J457" i="14" s="1"/>
  <c r="J456" i="14" s="1"/>
  <c r="J458" i="14"/>
  <c r="I458" i="14"/>
  <c r="K458" i="14" s="1"/>
  <c r="I457" i="14"/>
  <c r="I456" i="14" s="1"/>
  <c r="J447" i="14"/>
  <c r="J446" i="14"/>
  <c r="J441" i="14"/>
  <c r="I441" i="14"/>
  <c r="K441" i="14" s="1"/>
  <c r="J440" i="14"/>
  <c r="I440" i="14"/>
  <c r="K440" i="14" s="1"/>
  <c r="J433" i="14"/>
  <c r="I433" i="14"/>
  <c r="K433" i="14" s="1"/>
  <c r="J432" i="14"/>
  <c r="I432" i="14"/>
  <c r="K432" i="14" s="1"/>
  <c r="J425" i="14"/>
  <c r="I425" i="14"/>
  <c r="K425" i="14" s="1"/>
  <c r="J424" i="14"/>
  <c r="I424" i="14"/>
  <c r="K424" i="14" s="1"/>
  <c r="J423" i="14"/>
  <c r="J412" i="14" s="1"/>
  <c r="U421" i="14"/>
  <c r="T421" i="14"/>
  <c r="N421" i="14"/>
  <c r="N419" i="14" s="1"/>
  <c r="M421" i="14"/>
  <c r="P421" i="14" s="1"/>
  <c r="L421" i="14"/>
  <c r="O421" i="14" s="1"/>
  <c r="U420" i="14"/>
  <c r="T420" i="14"/>
  <c r="P420" i="14"/>
  <c r="O420" i="14"/>
  <c r="S419" i="14"/>
  <c r="R419" i="14"/>
  <c r="U419" i="14" s="1"/>
  <c r="Q419" i="14"/>
  <c r="T419" i="14" s="1"/>
  <c r="S418" i="14"/>
  <c r="R418" i="14"/>
  <c r="R416" i="14" s="1"/>
  <c r="Q418" i="14"/>
  <c r="Q415" i="14" s="1"/>
  <c r="N418" i="14"/>
  <c r="N416" i="14" s="1"/>
  <c r="M418" i="14"/>
  <c r="M416" i="14" s="1"/>
  <c r="L418" i="14"/>
  <c r="L416" i="14" s="1"/>
  <c r="U417" i="14"/>
  <c r="T417" i="14"/>
  <c r="P417" i="14"/>
  <c r="O417" i="14"/>
  <c r="S414" i="14"/>
  <c r="R414" i="14"/>
  <c r="Q414" i="14"/>
  <c r="T414" i="14" s="1"/>
  <c r="P414" i="14"/>
  <c r="N414" i="14"/>
  <c r="M414" i="14"/>
  <c r="L414" i="14"/>
  <c r="U400" i="14"/>
  <c r="T400" i="14"/>
  <c r="P400" i="14"/>
  <c r="O400" i="14"/>
  <c r="U399" i="14"/>
  <c r="T399" i="14"/>
  <c r="P399" i="14"/>
  <c r="O399" i="14"/>
  <c r="S398" i="14"/>
  <c r="R398" i="14"/>
  <c r="U398" i="14" s="1"/>
  <c r="Q398" i="14"/>
  <c r="T398" i="14" s="1"/>
  <c r="N398" i="14"/>
  <c r="M398" i="14"/>
  <c r="P398" i="14" s="1"/>
  <c r="L398" i="14"/>
  <c r="O398" i="14" s="1"/>
  <c r="S397" i="14"/>
  <c r="R397" i="14"/>
  <c r="U397" i="14" s="1"/>
  <c r="Q397" i="14"/>
  <c r="P397" i="14"/>
  <c r="O397" i="14"/>
  <c r="U396" i="14"/>
  <c r="T396" i="14"/>
  <c r="P396" i="14"/>
  <c r="O396" i="14"/>
  <c r="P395" i="14"/>
  <c r="N395" i="14"/>
  <c r="M395" i="14"/>
  <c r="L395" i="14"/>
  <c r="O395" i="14" s="1"/>
  <c r="N394" i="14"/>
  <c r="N392" i="14" s="1"/>
  <c r="M394" i="14"/>
  <c r="P394" i="14" s="1"/>
  <c r="L394" i="14"/>
  <c r="O394" i="14" s="1"/>
  <c r="S393" i="14"/>
  <c r="R393" i="14"/>
  <c r="Q393" i="14"/>
  <c r="T393" i="14" s="1"/>
  <c r="P393" i="14"/>
  <c r="N393" i="14"/>
  <c r="M393" i="14"/>
  <c r="L393" i="14"/>
  <c r="P392" i="14"/>
  <c r="M392" i="14"/>
  <c r="J391" i="14"/>
  <c r="I391" i="14"/>
  <c r="K391" i="14" s="1"/>
  <c r="J388" i="14"/>
  <c r="I388" i="14"/>
  <c r="K388" i="14" s="1"/>
  <c r="K387" i="14"/>
  <c r="J387" i="14"/>
  <c r="J386" i="14"/>
  <c r="I386" i="14"/>
  <c r="K386" i="14" s="1"/>
  <c r="K385" i="14"/>
  <c r="J385" i="14"/>
  <c r="U383" i="14"/>
  <c r="T383" i="14"/>
  <c r="N383" i="14"/>
  <c r="N381" i="14" s="1"/>
  <c r="M383" i="14"/>
  <c r="P383" i="14" s="1"/>
  <c r="L383" i="14"/>
  <c r="U382" i="14"/>
  <c r="T382" i="14"/>
  <c r="P382" i="14"/>
  <c r="O382" i="14"/>
  <c r="U381" i="14"/>
  <c r="T381" i="14"/>
  <c r="S381" i="14"/>
  <c r="R381" i="14"/>
  <c r="Q381" i="14"/>
  <c r="S380" i="14"/>
  <c r="R380" i="14"/>
  <c r="Q380" i="14"/>
  <c r="N380" i="14"/>
  <c r="N378" i="14" s="1"/>
  <c r="M380" i="14"/>
  <c r="P380" i="14" s="1"/>
  <c r="L380" i="14"/>
  <c r="U379" i="14"/>
  <c r="T379" i="14"/>
  <c r="P379" i="14"/>
  <c r="O379" i="14"/>
  <c r="S376" i="14"/>
  <c r="R376" i="14"/>
  <c r="U376" i="14" s="1"/>
  <c r="Q376" i="14"/>
  <c r="T376" i="14" s="1"/>
  <c r="P376" i="14"/>
  <c r="N376" i="14"/>
  <c r="M376" i="14"/>
  <c r="L376" i="14"/>
  <c r="O376" i="14" s="1"/>
  <c r="D373" i="14"/>
  <c r="K372" i="14"/>
  <c r="J372" i="14"/>
  <c r="J371" i="14"/>
  <c r="J365" i="14" s="1"/>
  <c r="I371" i="14"/>
  <c r="K370" i="14"/>
  <c r="J370" i="14"/>
  <c r="J369" i="14"/>
  <c r="I369" i="14"/>
  <c r="J368" i="14"/>
  <c r="I368" i="14"/>
  <c r="K367" i="14"/>
  <c r="J367" i="14"/>
  <c r="U364" i="14"/>
  <c r="T364" i="14"/>
  <c r="N364" i="14"/>
  <c r="N362" i="14" s="1"/>
  <c r="M364" i="14"/>
  <c r="L364" i="14"/>
  <c r="O364" i="14" s="1"/>
  <c r="U363" i="14"/>
  <c r="T363" i="14"/>
  <c r="P363" i="14"/>
  <c r="O363" i="14"/>
  <c r="U362" i="14"/>
  <c r="S362" i="14"/>
  <c r="R362" i="14"/>
  <c r="Q362" i="14"/>
  <c r="T362" i="14" s="1"/>
  <c r="U361" i="14"/>
  <c r="T361" i="14"/>
  <c r="N361" i="14"/>
  <c r="M361" i="14"/>
  <c r="M359" i="14" s="1"/>
  <c r="L361" i="14"/>
  <c r="U360" i="14"/>
  <c r="T360" i="14"/>
  <c r="P360" i="14"/>
  <c r="O360" i="14"/>
  <c r="T359" i="14"/>
  <c r="S359" i="14"/>
  <c r="R359" i="14"/>
  <c r="U359" i="14" s="1"/>
  <c r="Q359" i="14"/>
  <c r="S358" i="14"/>
  <c r="R358" i="14"/>
  <c r="U358" i="14" s="1"/>
  <c r="Q358" i="14"/>
  <c r="T358" i="14" s="1"/>
  <c r="U357" i="14"/>
  <c r="S357" i="14"/>
  <c r="S356" i="14" s="1"/>
  <c r="R357" i="14"/>
  <c r="Q357" i="14"/>
  <c r="T357" i="14" s="1"/>
  <c r="O357" i="14"/>
  <c r="N357" i="14"/>
  <c r="M357" i="14"/>
  <c r="L357" i="14"/>
  <c r="Q356" i="14"/>
  <c r="T356" i="14" s="1"/>
  <c r="J354" i="14"/>
  <c r="J353" i="14"/>
  <c r="J352" i="14"/>
  <c r="D350" i="14"/>
  <c r="J349" i="14"/>
  <c r="J348" i="14"/>
  <c r="J347" i="14"/>
  <c r="J346" i="14"/>
  <c r="I346" i="14"/>
  <c r="K344" i="14"/>
  <c r="J344" i="14"/>
  <c r="U341" i="14"/>
  <c r="T341" i="14"/>
  <c r="N341" i="14"/>
  <c r="M341" i="14"/>
  <c r="P341" i="14" s="1"/>
  <c r="L341" i="14"/>
  <c r="U340" i="14"/>
  <c r="T340" i="14"/>
  <c r="P340" i="14"/>
  <c r="O340" i="14"/>
  <c r="T339" i="14"/>
  <c r="S339" i="14"/>
  <c r="R339" i="14"/>
  <c r="U339" i="14" s="1"/>
  <c r="Q339" i="14"/>
  <c r="U338" i="14"/>
  <c r="T338" i="14"/>
  <c r="N338" i="14"/>
  <c r="M338" i="14"/>
  <c r="M336" i="14" s="1"/>
  <c r="L338" i="14"/>
  <c r="L336" i="14" s="1"/>
  <c r="U337" i="14"/>
  <c r="T337" i="14"/>
  <c r="P337" i="14"/>
  <c r="O337" i="14"/>
  <c r="U336" i="14"/>
  <c r="S336" i="14"/>
  <c r="R336" i="14"/>
  <c r="Q336" i="14"/>
  <c r="T336" i="14" s="1"/>
  <c r="U335" i="14"/>
  <c r="S335" i="14"/>
  <c r="R335" i="14"/>
  <c r="Q335" i="14"/>
  <c r="T335" i="14" s="1"/>
  <c r="U334" i="14"/>
  <c r="S334" i="14"/>
  <c r="R334" i="14"/>
  <c r="R333" i="14" s="1"/>
  <c r="U333" i="14" s="1"/>
  <c r="Q334" i="14"/>
  <c r="T334" i="14" s="1"/>
  <c r="O334" i="14"/>
  <c r="N334" i="14"/>
  <c r="M334" i="14"/>
  <c r="P334" i="14" s="1"/>
  <c r="L334" i="14"/>
  <c r="S333" i="14"/>
  <c r="I332" i="14"/>
  <c r="I330" i="14"/>
  <c r="U328" i="14"/>
  <c r="T328" i="14"/>
  <c r="N328" i="14"/>
  <c r="N326" i="14" s="1"/>
  <c r="M328" i="14"/>
  <c r="L328" i="14"/>
  <c r="U327" i="14"/>
  <c r="T327" i="14"/>
  <c r="P327" i="14"/>
  <c r="O327" i="14"/>
  <c r="U326" i="14"/>
  <c r="S326" i="14"/>
  <c r="R326" i="14"/>
  <c r="Q326" i="14"/>
  <c r="T326" i="14" s="1"/>
  <c r="U325" i="14"/>
  <c r="T325" i="14"/>
  <c r="N325" i="14"/>
  <c r="N323" i="14" s="1"/>
  <c r="M325" i="14"/>
  <c r="M323" i="14" s="1"/>
  <c r="P323" i="14" s="1"/>
  <c r="L325" i="14"/>
  <c r="O325" i="14" s="1"/>
  <c r="U324" i="14"/>
  <c r="T324" i="14"/>
  <c r="P324" i="14"/>
  <c r="O324" i="14"/>
  <c r="T323" i="14"/>
  <c r="S323" i="14"/>
  <c r="R323" i="14"/>
  <c r="U323" i="14" s="1"/>
  <c r="Q323" i="14"/>
  <c r="T322" i="14"/>
  <c r="S322" i="14"/>
  <c r="S320" i="14" s="1"/>
  <c r="R322" i="14"/>
  <c r="U322" i="14" s="1"/>
  <c r="Q322" i="14"/>
  <c r="T321" i="14"/>
  <c r="S321" i="14"/>
  <c r="R321" i="14"/>
  <c r="U321" i="14" s="1"/>
  <c r="Q321" i="14"/>
  <c r="Q320" i="14" s="1"/>
  <c r="T320" i="14" s="1"/>
  <c r="P321" i="14"/>
  <c r="N321" i="14"/>
  <c r="M321" i="14"/>
  <c r="L321" i="14"/>
  <c r="O321" i="14" s="1"/>
  <c r="R320" i="14"/>
  <c r="U320" i="14" s="1"/>
  <c r="J319" i="14"/>
  <c r="I314" i="14"/>
  <c r="U311" i="14"/>
  <c r="T311" i="14"/>
  <c r="N311" i="14"/>
  <c r="M311" i="14"/>
  <c r="M309" i="14" s="1"/>
  <c r="P309" i="14" s="1"/>
  <c r="L311" i="14"/>
  <c r="U310" i="14"/>
  <c r="T310" i="14"/>
  <c r="P310" i="14"/>
  <c r="O310" i="14"/>
  <c r="T309" i="14"/>
  <c r="S309" i="14"/>
  <c r="R309" i="14"/>
  <c r="U309" i="14" s="1"/>
  <c r="Q309" i="14"/>
  <c r="S308" i="14"/>
  <c r="S305" i="14" s="1"/>
  <c r="R308" i="14"/>
  <c r="R305" i="14" s="1"/>
  <c r="Q308" i="14"/>
  <c r="N308" i="14"/>
  <c r="N306" i="14" s="1"/>
  <c r="M308" i="14"/>
  <c r="P308" i="14" s="1"/>
  <c r="L308" i="14"/>
  <c r="U307" i="14"/>
  <c r="T307" i="14"/>
  <c r="P307" i="14"/>
  <c r="O307" i="14"/>
  <c r="T304" i="14"/>
  <c r="S304" i="14"/>
  <c r="R304" i="14"/>
  <c r="U304" i="14" s="1"/>
  <c r="Q304" i="14"/>
  <c r="P304" i="14"/>
  <c r="N304" i="14"/>
  <c r="M304" i="14"/>
  <c r="L304" i="14"/>
  <c r="O304" i="14" s="1"/>
  <c r="J302" i="14"/>
  <c r="I296" i="14"/>
  <c r="K296" i="14" s="1"/>
  <c r="I295" i="14"/>
  <c r="K295" i="14" s="1"/>
  <c r="J293" i="14"/>
  <c r="I293" i="14"/>
  <c r="I292" i="14"/>
  <c r="K292" i="14" s="1"/>
  <c r="U290" i="14"/>
  <c r="T290" i="14"/>
  <c r="N290" i="14"/>
  <c r="N288" i="14" s="1"/>
  <c r="M290" i="14"/>
  <c r="P290" i="14" s="1"/>
  <c r="L290" i="14"/>
  <c r="O290" i="14" s="1"/>
  <c r="U289" i="14"/>
  <c r="T289" i="14"/>
  <c r="P289" i="14"/>
  <c r="O289" i="14"/>
  <c r="U288" i="14"/>
  <c r="S288" i="14"/>
  <c r="R288" i="14"/>
  <c r="Q288" i="14"/>
  <c r="T288" i="14" s="1"/>
  <c r="U287" i="14"/>
  <c r="T287" i="14"/>
  <c r="N287" i="14"/>
  <c r="N285" i="14" s="1"/>
  <c r="M287" i="14"/>
  <c r="P287" i="14" s="1"/>
  <c r="L287" i="14"/>
  <c r="U286" i="14"/>
  <c r="T286" i="14"/>
  <c r="P286" i="14"/>
  <c r="O286" i="14"/>
  <c r="T285" i="14"/>
  <c r="S285" i="14"/>
  <c r="R285" i="14"/>
  <c r="U285" i="14" s="1"/>
  <c r="Q285" i="14"/>
  <c r="T284" i="14"/>
  <c r="S284" i="14"/>
  <c r="R284" i="14"/>
  <c r="U284" i="14" s="1"/>
  <c r="Q284" i="14"/>
  <c r="S283" i="14"/>
  <c r="R283" i="14"/>
  <c r="U283" i="14" s="1"/>
  <c r="Q283" i="14"/>
  <c r="T283" i="14" s="1"/>
  <c r="P283" i="14"/>
  <c r="N283" i="14"/>
  <c r="M283" i="14"/>
  <c r="L283" i="14"/>
  <c r="O283" i="14" s="1"/>
  <c r="T282" i="14"/>
  <c r="S282" i="14"/>
  <c r="Q282" i="14"/>
  <c r="J281" i="14"/>
  <c r="J280" i="14"/>
  <c r="I276" i="14"/>
  <c r="K276" i="14" s="1"/>
  <c r="U274" i="14"/>
  <c r="T274" i="14"/>
  <c r="N274" i="14"/>
  <c r="N272" i="14" s="1"/>
  <c r="M274" i="14"/>
  <c r="L274" i="14"/>
  <c r="O274" i="14" s="1"/>
  <c r="U273" i="14"/>
  <c r="T273" i="14"/>
  <c r="P273" i="14"/>
  <c r="O273" i="14"/>
  <c r="U272" i="14"/>
  <c r="S272" i="14"/>
  <c r="R272" i="14"/>
  <c r="Q272" i="14"/>
  <c r="T272" i="14" s="1"/>
  <c r="S271" i="14"/>
  <c r="S269" i="14" s="1"/>
  <c r="R271" i="14"/>
  <c r="R268" i="14" s="1"/>
  <c r="Q271" i="14"/>
  <c r="Q268" i="14" s="1"/>
  <c r="N271" i="14"/>
  <c r="N269" i="14" s="1"/>
  <c r="M271" i="14"/>
  <c r="L271" i="14"/>
  <c r="U270" i="14"/>
  <c r="T270" i="14"/>
  <c r="P270" i="14"/>
  <c r="O270" i="14"/>
  <c r="M269" i="14"/>
  <c r="U267" i="14"/>
  <c r="S267" i="14"/>
  <c r="R267" i="14"/>
  <c r="Q267" i="14"/>
  <c r="T267" i="14" s="1"/>
  <c r="P267" i="14"/>
  <c r="O267" i="14"/>
  <c r="N267" i="14"/>
  <c r="M267" i="14"/>
  <c r="L267" i="14"/>
  <c r="J265" i="14"/>
  <c r="K263" i="14"/>
  <c r="K262" i="14"/>
  <c r="I260" i="14"/>
  <c r="K260" i="14" s="1"/>
  <c r="L258" i="14"/>
  <c r="L257" i="14"/>
  <c r="L256" i="14"/>
  <c r="L255" i="14"/>
  <c r="P254" i="14"/>
  <c r="N254" i="14"/>
  <c r="J253" i="14"/>
  <c r="J231" i="14" s="1"/>
  <c r="J185" i="14" s="1"/>
  <c r="K252" i="14"/>
  <c r="K251" i="14"/>
  <c r="I249" i="14"/>
  <c r="L247" i="14"/>
  <c r="L246" i="14"/>
  <c r="L245" i="14"/>
  <c r="L244" i="14"/>
  <c r="P243" i="14"/>
  <c r="N243" i="14"/>
  <c r="N232" i="14" s="1"/>
  <c r="J242" i="14"/>
  <c r="J241" i="14"/>
  <c r="I241" i="14"/>
  <c r="K241" i="14" s="1"/>
  <c r="K240" i="14"/>
  <c r="J240" i="14"/>
  <c r="I240" i="14"/>
  <c r="J238" i="14"/>
  <c r="N236" i="14"/>
  <c r="N235" i="14"/>
  <c r="N234" i="14"/>
  <c r="N233" i="14"/>
  <c r="I230" i="14"/>
  <c r="K230" i="14" s="1"/>
  <c r="I229" i="14"/>
  <c r="K229" i="14" s="1"/>
  <c r="I228" i="14"/>
  <c r="K228" i="14" s="1"/>
  <c r="L225" i="14"/>
  <c r="L224" i="14"/>
  <c r="L223" i="14"/>
  <c r="P222" i="14"/>
  <c r="N222" i="14"/>
  <c r="J221" i="14"/>
  <c r="I220" i="14"/>
  <c r="K220" i="14" s="1"/>
  <c r="I219" i="14"/>
  <c r="K219" i="14" s="1"/>
  <c r="Q217" i="14"/>
  <c r="Q214" i="14" s="1"/>
  <c r="T214" i="14" s="1"/>
  <c r="L217" i="14"/>
  <c r="L216" i="14"/>
  <c r="L215" i="14"/>
  <c r="U214" i="14"/>
  <c r="S214" i="14"/>
  <c r="P214" i="14"/>
  <c r="N214" i="14"/>
  <c r="J213" i="14"/>
  <c r="I212" i="14"/>
  <c r="K212" i="14" s="1"/>
  <c r="I211" i="14"/>
  <c r="K211" i="14" s="1"/>
  <c r="I209" i="14"/>
  <c r="K209" i="14" s="1"/>
  <c r="L207" i="14"/>
  <c r="Q206" i="14"/>
  <c r="L206" i="14"/>
  <c r="L205" i="14"/>
  <c r="L204" i="14"/>
  <c r="U203" i="14"/>
  <c r="S203" i="14"/>
  <c r="Q203" i="14"/>
  <c r="T203" i="14" s="1"/>
  <c r="P203" i="14"/>
  <c r="N203" i="14"/>
  <c r="J202" i="14"/>
  <c r="I202" i="14"/>
  <c r="K202" i="14" s="1"/>
  <c r="J199" i="14"/>
  <c r="I198" i="14"/>
  <c r="P196" i="14"/>
  <c r="L196" i="14"/>
  <c r="O196" i="14" s="1"/>
  <c r="J195" i="14"/>
  <c r="S194" i="14"/>
  <c r="R194" i="14"/>
  <c r="Q194" i="14"/>
  <c r="T194" i="14" s="1"/>
  <c r="N194" i="14"/>
  <c r="M194" i="14"/>
  <c r="M192" i="14" s="1"/>
  <c r="P192" i="14" s="1"/>
  <c r="L194" i="14"/>
  <c r="U193" i="14"/>
  <c r="T193" i="14"/>
  <c r="P193" i="14"/>
  <c r="O193" i="14"/>
  <c r="S191" i="14"/>
  <c r="S189" i="14" s="1"/>
  <c r="R191" i="14"/>
  <c r="Q191" i="14"/>
  <c r="N191" i="14"/>
  <c r="N189" i="14" s="1"/>
  <c r="M191" i="14"/>
  <c r="M189" i="14" s="1"/>
  <c r="L191" i="14"/>
  <c r="U190" i="14"/>
  <c r="T190" i="14"/>
  <c r="P190" i="14"/>
  <c r="O190" i="14"/>
  <c r="U187" i="14"/>
  <c r="S187" i="14"/>
  <c r="R187" i="14"/>
  <c r="Q187" i="14"/>
  <c r="T187" i="14" s="1"/>
  <c r="P187" i="14"/>
  <c r="O187" i="14"/>
  <c r="N187" i="14"/>
  <c r="M187" i="14"/>
  <c r="L187" i="14"/>
  <c r="K184" i="14"/>
  <c r="I183" i="14"/>
  <c r="I172" i="14" s="1"/>
  <c r="K172" i="14" s="1"/>
  <c r="U181" i="14"/>
  <c r="T181" i="14"/>
  <c r="N181" i="14"/>
  <c r="N179" i="14" s="1"/>
  <c r="M181" i="14"/>
  <c r="P181" i="14" s="1"/>
  <c r="L181" i="14"/>
  <c r="O181" i="14" s="1"/>
  <c r="U180" i="14"/>
  <c r="T180" i="14"/>
  <c r="P180" i="14"/>
  <c r="O180" i="14"/>
  <c r="S179" i="14"/>
  <c r="R179" i="14"/>
  <c r="U179" i="14" s="1"/>
  <c r="Q179" i="14"/>
  <c r="T179" i="14" s="1"/>
  <c r="S178" i="14"/>
  <c r="S176" i="14" s="1"/>
  <c r="R178" i="14"/>
  <c r="U178" i="14" s="1"/>
  <c r="Q178" i="14"/>
  <c r="T178" i="14" s="1"/>
  <c r="N178" i="14"/>
  <c r="N176" i="14" s="1"/>
  <c r="M178" i="14"/>
  <c r="L178" i="14"/>
  <c r="U177" i="14"/>
  <c r="T177" i="14"/>
  <c r="P177" i="14"/>
  <c r="O177" i="14"/>
  <c r="U174" i="14"/>
  <c r="S174" i="14"/>
  <c r="R174" i="14"/>
  <c r="Q174" i="14"/>
  <c r="T174" i="14" s="1"/>
  <c r="O174" i="14"/>
  <c r="N174" i="14"/>
  <c r="M174" i="14"/>
  <c r="L174" i="14"/>
  <c r="J172" i="14"/>
  <c r="I169" i="14"/>
  <c r="K169" i="14" s="1"/>
  <c r="I168" i="14"/>
  <c r="K168" i="14" s="1"/>
  <c r="I167" i="14"/>
  <c r="K167" i="14" s="1"/>
  <c r="U165" i="14"/>
  <c r="T165" i="14"/>
  <c r="N165" i="14"/>
  <c r="N163" i="14" s="1"/>
  <c r="M165" i="14"/>
  <c r="P165" i="14" s="1"/>
  <c r="L165" i="14"/>
  <c r="O165" i="14" s="1"/>
  <c r="U164" i="14"/>
  <c r="T164" i="14"/>
  <c r="P164" i="14"/>
  <c r="O164" i="14"/>
  <c r="S163" i="14"/>
  <c r="R163" i="14"/>
  <c r="U163" i="14" s="1"/>
  <c r="Q163" i="14"/>
  <c r="T163" i="14" s="1"/>
  <c r="S162" i="14"/>
  <c r="S159" i="14" s="1"/>
  <c r="R162" i="14"/>
  <c r="U162" i="14" s="1"/>
  <c r="Q162" i="14"/>
  <c r="T162" i="14" s="1"/>
  <c r="N162" i="14"/>
  <c r="N160" i="14" s="1"/>
  <c r="M162" i="14"/>
  <c r="P162" i="14" s="1"/>
  <c r="L162" i="14"/>
  <c r="L160" i="14" s="1"/>
  <c r="O160" i="14" s="1"/>
  <c r="U161" i="14"/>
  <c r="T161" i="14"/>
  <c r="P161" i="14"/>
  <c r="O161" i="14"/>
  <c r="S158" i="14"/>
  <c r="R158" i="14"/>
  <c r="U158" i="14" s="1"/>
  <c r="Q158" i="14"/>
  <c r="T158" i="14" s="1"/>
  <c r="O158" i="14"/>
  <c r="N158" i="14"/>
  <c r="M158" i="14"/>
  <c r="L158" i="14"/>
  <c r="J156" i="14"/>
  <c r="I154" i="14"/>
  <c r="I136" i="14" s="1"/>
  <c r="K136" i="14" s="1"/>
  <c r="I153" i="14"/>
  <c r="I152" i="14"/>
  <c r="I137" i="14" s="1"/>
  <c r="K137" i="14" s="1"/>
  <c r="I151" i="14"/>
  <c r="K151" i="14" s="1"/>
  <c r="I150" i="14"/>
  <c r="K150" i="14" s="1"/>
  <c r="S147" i="14"/>
  <c r="R147" i="14"/>
  <c r="U147" i="14" s="1"/>
  <c r="Q147" i="14"/>
  <c r="T147" i="14" s="1"/>
  <c r="N147" i="14"/>
  <c r="M147" i="14"/>
  <c r="M145" i="14" s="1"/>
  <c r="P145" i="14" s="1"/>
  <c r="L147" i="14"/>
  <c r="O147" i="14" s="1"/>
  <c r="U146" i="14"/>
  <c r="T146" i="14"/>
  <c r="P146" i="14"/>
  <c r="O146" i="14"/>
  <c r="S144" i="14"/>
  <c r="S142" i="14" s="1"/>
  <c r="R144" i="14"/>
  <c r="U144" i="14" s="1"/>
  <c r="Q144" i="14"/>
  <c r="T144" i="14" s="1"/>
  <c r="N144" i="14"/>
  <c r="N142" i="14" s="1"/>
  <c r="M144" i="14"/>
  <c r="P144" i="14" s="1"/>
  <c r="L144" i="14"/>
  <c r="O144" i="14" s="1"/>
  <c r="U143" i="14"/>
  <c r="T143" i="14"/>
  <c r="P143" i="14"/>
  <c r="O143" i="14"/>
  <c r="U140" i="14"/>
  <c r="T140" i="14"/>
  <c r="S140" i="14"/>
  <c r="R140" i="14"/>
  <c r="Q140" i="14"/>
  <c r="P140" i="14"/>
  <c r="O140" i="14"/>
  <c r="N140" i="14"/>
  <c r="M140" i="14"/>
  <c r="L140" i="14"/>
  <c r="J138" i="14"/>
  <c r="J137" i="14"/>
  <c r="J136" i="14"/>
  <c r="I130" i="14"/>
  <c r="K130" i="14" s="1"/>
  <c r="I129" i="14"/>
  <c r="K129" i="14" s="1"/>
  <c r="I128" i="14"/>
  <c r="K128" i="14" s="1"/>
  <c r="I127" i="14"/>
  <c r="K127" i="14" s="1"/>
  <c r="S125" i="14"/>
  <c r="R125" i="14"/>
  <c r="U125" i="14" s="1"/>
  <c r="Q125" i="14"/>
  <c r="Q123" i="14" s="1"/>
  <c r="T123" i="14" s="1"/>
  <c r="N125" i="14"/>
  <c r="N123" i="14" s="1"/>
  <c r="M125" i="14"/>
  <c r="P125" i="14" s="1"/>
  <c r="L125" i="14"/>
  <c r="L123" i="14" s="1"/>
  <c r="O123" i="14" s="1"/>
  <c r="U124" i="14"/>
  <c r="T124" i="14"/>
  <c r="P124" i="14"/>
  <c r="O124" i="14"/>
  <c r="S122" i="14"/>
  <c r="S120" i="14" s="1"/>
  <c r="R122" i="14"/>
  <c r="R120" i="14" s="1"/>
  <c r="Q122" i="14"/>
  <c r="Q120" i="14" s="1"/>
  <c r="N122" i="14"/>
  <c r="N120" i="14" s="1"/>
  <c r="M122" i="14"/>
  <c r="P122" i="14" s="1"/>
  <c r="L122" i="14"/>
  <c r="U121" i="14"/>
  <c r="T121" i="14"/>
  <c r="P121" i="14"/>
  <c r="O121" i="14"/>
  <c r="S118" i="14"/>
  <c r="R118" i="14"/>
  <c r="U118" i="14" s="1"/>
  <c r="Q118" i="14"/>
  <c r="T118" i="14" s="1"/>
  <c r="N118" i="14"/>
  <c r="M118" i="14"/>
  <c r="L118" i="14"/>
  <c r="O118" i="14" s="1"/>
  <c r="J116" i="14"/>
  <c r="I114" i="14"/>
  <c r="K114" i="14" s="1"/>
  <c r="I113" i="14"/>
  <c r="K113" i="14" s="1"/>
  <c r="I109" i="14"/>
  <c r="K109" i="14" s="1"/>
  <c r="I108" i="14"/>
  <c r="K108" i="14" s="1"/>
  <c r="U102" i="14"/>
  <c r="T102" i="14"/>
  <c r="N102" i="14"/>
  <c r="N100" i="14" s="1"/>
  <c r="M102" i="14"/>
  <c r="P102" i="14" s="1"/>
  <c r="L102" i="14"/>
  <c r="O102" i="14" s="1"/>
  <c r="U101" i="14"/>
  <c r="T101" i="14"/>
  <c r="P101" i="14"/>
  <c r="O101" i="14"/>
  <c r="T100" i="14"/>
  <c r="S100" i="14"/>
  <c r="R100" i="14"/>
  <c r="U100" i="14" s="1"/>
  <c r="Q100" i="14"/>
  <c r="S99" i="14"/>
  <c r="R99" i="14"/>
  <c r="Q99" i="14"/>
  <c r="N99" i="14"/>
  <c r="N97" i="14" s="1"/>
  <c r="M99" i="14"/>
  <c r="L99" i="14"/>
  <c r="U98" i="14"/>
  <c r="T98" i="14"/>
  <c r="P98" i="14"/>
  <c r="O98" i="14"/>
  <c r="U95" i="14"/>
  <c r="S95" i="14"/>
  <c r="R95" i="14"/>
  <c r="Q95" i="14"/>
  <c r="T95" i="14" s="1"/>
  <c r="P95" i="14"/>
  <c r="O95" i="14"/>
  <c r="N95" i="14"/>
  <c r="M95" i="14"/>
  <c r="L95" i="14"/>
  <c r="J93" i="14"/>
  <c r="J92" i="14"/>
  <c r="I90" i="14"/>
  <c r="K90" i="14" s="1"/>
  <c r="I89" i="14"/>
  <c r="I88" i="14"/>
  <c r="K88" i="14" s="1"/>
  <c r="I87" i="14"/>
  <c r="K87" i="14" s="1"/>
  <c r="I86" i="14"/>
  <c r="K86" i="14" s="1"/>
  <c r="I85" i="14"/>
  <c r="K85" i="14" s="1"/>
  <c r="I84" i="14"/>
  <c r="K84" i="14" s="1"/>
  <c r="J83" i="14"/>
  <c r="J82" i="14"/>
  <c r="S80" i="14"/>
  <c r="S78" i="14" s="1"/>
  <c r="R80" i="14"/>
  <c r="U80" i="14" s="1"/>
  <c r="Q80" i="14"/>
  <c r="T80" i="14" s="1"/>
  <c r="N80" i="14"/>
  <c r="N78" i="14" s="1"/>
  <c r="M80" i="14"/>
  <c r="L80" i="14"/>
  <c r="O80" i="14" s="1"/>
  <c r="U79" i="14"/>
  <c r="T79" i="14"/>
  <c r="P79" i="14"/>
  <c r="O79" i="14"/>
  <c r="S77" i="14"/>
  <c r="S75" i="14" s="1"/>
  <c r="R77" i="14"/>
  <c r="R75" i="14" s="1"/>
  <c r="U75" i="14" s="1"/>
  <c r="Q77" i="14"/>
  <c r="T77" i="14" s="1"/>
  <c r="N77" i="14"/>
  <c r="N75" i="14" s="1"/>
  <c r="M77" i="14"/>
  <c r="L77" i="14"/>
  <c r="O77" i="14" s="1"/>
  <c r="U76" i="14"/>
  <c r="T76" i="14"/>
  <c r="P76" i="14"/>
  <c r="O76" i="14"/>
  <c r="S73" i="14"/>
  <c r="R73" i="14"/>
  <c r="U73" i="14" s="1"/>
  <c r="Q73" i="14"/>
  <c r="P73" i="14"/>
  <c r="N73" i="14"/>
  <c r="M73" i="14"/>
  <c r="L73" i="14"/>
  <c r="O73" i="14" s="1"/>
  <c r="J71" i="14"/>
  <c r="J70" i="14"/>
  <c r="U67" i="14"/>
  <c r="T67" i="14"/>
  <c r="N67" i="14"/>
  <c r="M67" i="14"/>
  <c r="M65" i="14" s="1"/>
  <c r="P65" i="14" s="1"/>
  <c r="L67" i="14"/>
  <c r="O67" i="14" s="1"/>
  <c r="U66" i="14"/>
  <c r="T66" i="14"/>
  <c r="P66" i="14"/>
  <c r="O66" i="14"/>
  <c r="S65" i="14"/>
  <c r="R65" i="14"/>
  <c r="U65" i="14" s="1"/>
  <c r="Q65" i="14"/>
  <c r="T65" i="14" s="1"/>
  <c r="U64" i="14"/>
  <c r="T64" i="14"/>
  <c r="N64" i="14"/>
  <c r="N62" i="14" s="1"/>
  <c r="M64" i="14"/>
  <c r="M61" i="14" s="1"/>
  <c r="L64" i="14"/>
  <c r="U63" i="14"/>
  <c r="T63" i="14"/>
  <c r="P63" i="14"/>
  <c r="O63" i="14"/>
  <c r="U62" i="14"/>
  <c r="S62" i="14"/>
  <c r="R62" i="14"/>
  <c r="Q62" i="14"/>
  <c r="T62" i="14" s="1"/>
  <c r="S61" i="14"/>
  <c r="S59" i="14" s="1"/>
  <c r="R61" i="14"/>
  <c r="U61" i="14" s="1"/>
  <c r="Q61" i="14"/>
  <c r="T61" i="14" s="1"/>
  <c r="U60" i="14"/>
  <c r="S60" i="14"/>
  <c r="R60" i="14"/>
  <c r="Q60" i="14"/>
  <c r="T60" i="14" s="1"/>
  <c r="P60" i="14"/>
  <c r="O60" i="14"/>
  <c r="N60" i="14"/>
  <c r="M60" i="14"/>
  <c r="L60" i="14"/>
  <c r="R59" i="14"/>
  <c r="U59" i="14" s="1"/>
  <c r="Q59" i="14"/>
  <c r="T59" i="14" s="1"/>
  <c r="U52" i="14"/>
  <c r="T52" i="14"/>
  <c r="N52" i="14"/>
  <c r="N50" i="14" s="1"/>
  <c r="M52" i="14"/>
  <c r="M50" i="14" s="1"/>
  <c r="P50" i="14" s="1"/>
  <c r="L52" i="14"/>
  <c r="L50" i="14" s="1"/>
  <c r="O50" i="14" s="1"/>
  <c r="U51" i="14"/>
  <c r="T51" i="14"/>
  <c r="P51" i="14"/>
  <c r="O51" i="14"/>
  <c r="U50" i="14"/>
  <c r="T50" i="14"/>
  <c r="S50" i="14"/>
  <c r="R50" i="14"/>
  <c r="Q50" i="14"/>
  <c r="U49" i="14"/>
  <c r="T49" i="14"/>
  <c r="N49" i="14"/>
  <c r="M49" i="14"/>
  <c r="M47" i="14" s="1"/>
  <c r="L49" i="14"/>
  <c r="L47" i="14" s="1"/>
  <c r="U48" i="14"/>
  <c r="T48" i="14"/>
  <c r="P48" i="14"/>
  <c r="O48" i="14"/>
  <c r="S47" i="14"/>
  <c r="R47" i="14"/>
  <c r="U47" i="14" s="1"/>
  <c r="Q47" i="14"/>
  <c r="T47" i="14" s="1"/>
  <c r="U46" i="14"/>
  <c r="T46" i="14"/>
  <c r="S46" i="14"/>
  <c r="R46" i="14"/>
  <c r="Q46" i="14"/>
  <c r="T45" i="14"/>
  <c r="S45" i="14"/>
  <c r="S44" i="14" s="1"/>
  <c r="R45" i="14"/>
  <c r="U45" i="14" s="1"/>
  <c r="Q45" i="14"/>
  <c r="N45" i="14"/>
  <c r="M45" i="14"/>
  <c r="P45" i="14" s="1"/>
  <c r="L45" i="14"/>
  <c r="O45" i="14" s="1"/>
  <c r="R44" i="14"/>
  <c r="U44" i="14" s="1"/>
  <c r="Q44" i="14"/>
  <c r="T44" i="14" s="1"/>
  <c r="S25" i="14"/>
  <c r="R25" i="14"/>
  <c r="U25" i="14" s="1"/>
  <c r="Q25" i="14"/>
  <c r="T25" i="14" s="1"/>
  <c r="N25" i="14"/>
  <c r="M25" i="14"/>
  <c r="P25" i="14" s="1"/>
  <c r="L25" i="14"/>
  <c r="O25" i="14" s="1"/>
  <c r="S22" i="14"/>
  <c r="R22" i="14"/>
  <c r="U22" i="14" s="1"/>
  <c r="Q22" i="14"/>
  <c r="T22" i="14" s="1"/>
  <c r="N22" i="14"/>
  <c r="M22" i="14"/>
  <c r="P22" i="14" s="1"/>
  <c r="L22" i="14"/>
  <c r="O22" i="14" s="1"/>
  <c r="S19" i="14"/>
  <c r="R19" i="14"/>
  <c r="U19" i="14" s="1"/>
  <c r="Q19" i="14"/>
  <c r="T19" i="14" s="1"/>
  <c r="N19" i="14"/>
  <c r="M19" i="14"/>
  <c r="P19" i="14" s="1"/>
  <c r="L19" i="14"/>
  <c r="O19" i="14" s="1"/>
  <c r="A789" i="13"/>
  <c r="A788" i="13"/>
  <c r="J785" i="13"/>
  <c r="I785" i="13"/>
  <c r="J784" i="13"/>
  <c r="I784" i="13"/>
  <c r="J783" i="13"/>
  <c r="I783" i="13"/>
  <c r="K783" i="13" s="1"/>
  <c r="J782" i="13"/>
  <c r="I782" i="13"/>
  <c r="K782" i="13" s="1"/>
  <c r="J781" i="13"/>
  <c r="I781" i="13"/>
  <c r="J780" i="13"/>
  <c r="I780" i="13"/>
  <c r="J779" i="13"/>
  <c r="I779" i="13"/>
  <c r="J778" i="13"/>
  <c r="I778" i="13"/>
  <c r="H777" i="13"/>
  <c r="I776" i="13"/>
  <c r="I775" i="13"/>
  <c r="I774" i="13"/>
  <c r="I759" i="13" s="1"/>
  <c r="K759" i="13" s="1"/>
  <c r="I772" i="13"/>
  <c r="K772" i="13" s="1"/>
  <c r="I770" i="13"/>
  <c r="K770" i="13" s="1"/>
  <c r="U768" i="13"/>
  <c r="T768" i="13"/>
  <c r="P768" i="13"/>
  <c r="O768" i="13"/>
  <c r="U767" i="13"/>
  <c r="T767" i="13"/>
  <c r="P767" i="13"/>
  <c r="O767" i="13"/>
  <c r="U766" i="13"/>
  <c r="S766" i="13"/>
  <c r="R766" i="13"/>
  <c r="Q766" i="13"/>
  <c r="T766" i="13" s="1"/>
  <c r="P766" i="13"/>
  <c r="O766" i="13"/>
  <c r="N766" i="13"/>
  <c r="M766" i="13"/>
  <c r="L766" i="13"/>
  <c r="S765" i="13"/>
  <c r="S762" i="13" s="1"/>
  <c r="R765" i="13"/>
  <c r="R763" i="13" s="1"/>
  <c r="U763" i="13" s="1"/>
  <c r="Q765" i="13"/>
  <c r="T765" i="13" s="1"/>
  <c r="P765" i="13"/>
  <c r="O765" i="13"/>
  <c r="U764" i="13"/>
  <c r="T764" i="13"/>
  <c r="P764" i="13"/>
  <c r="O764" i="13"/>
  <c r="N763" i="13"/>
  <c r="M763" i="13"/>
  <c r="P763" i="13" s="1"/>
  <c r="L763" i="13"/>
  <c r="O763" i="13" s="1"/>
  <c r="P762" i="13"/>
  <c r="N762" i="13"/>
  <c r="M762" i="13"/>
  <c r="L762" i="13"/>
  <c r="U761" i="13"/>
  <c r="T761" i="13"/>
  <c r="S761" i="13"/>
  <c r="R761" i="13"/>
  <c r="Q761" i="13"/>
  <c r="P761" i="13"/>
  <c r="O761" i="13"/>
  <c r="N761" i="13"/>
  <c r="M761" i="13"/>
  <c r="M760" i="13" s="1"/>
  <c r="P760" i="13" s="1"/>
  <c r="L761" i="13"/>
  <c r="N760" i="13"/>
  <c r="J759" i="13"/>
  <c r="J758" i="13"/>
  <c r="I755" i="13"/>
  <c r="K755" i="13" s="1"/>
  <c r="I752" i="13"/>
  <c r="K752" i="13" s="1"/>
  <c r="I749" i="13"/>
  <c r="K749" i="13" s="1"/>
  <c r="I746" i="13"/>
  <c r="K746" i="13" s="1"/>
  <c r="I744" i="13"/>
  <c r="K744" i="13" s="1"/>
  <c r="I742" i="13"/>
  <c r="K742" i="13" s="1"/>
  <c r="I740" i="13"/>
  <c r="K740" i="13" s="1"/>
  <c r="U736" i="13"/>
  <c r="T736" i="13"/>
  <c r="P736" i="13"/>
  <c r="O736" i="13"/>
  <c r="U735" i="13"/>
  <c r="T735" i="13"/>
  <c r="P735" i="13"/>
  <c r="O735" i="13"/>
  <c r="U734" i="13"/>
  <c r="T734" i="13"/>
  <c r="S734" i="13"/>
  <c r="R734" i="13"/>
  <c r="Q734" i="13"/>
  <c r="P734" i="13"/>
  <c r="O734" i="13"/>
  <c r="N734" i="13"/>
  <c r="M734" i="13"/>
  <c r="L734" i="13"/>
  <c r="S733" i="13"/>
  <c r="S730" i="13" s="1"/>
  <c r="S728" i="13" s="1"/>
  <c r="R733" i="13"/>
  <c r="R731" i="13" s="1"/>
  <c r="Q733" i="13"/>
  <c r="Q731" i="13" s="1"/>
  <c r="P733" i="13"/>
  <c r="O733" i="13"/>
  <c r="U732" i="13"/>
  <c r="T732" i="13"/>
  <c r="P732" i="13"/>
  <c r="O732" i="13"/>
  <c r="N731" i="13"/>
  <c r="M731" i="13"/>
  <c r="P731" i="13" s="1"/>
  <c r="L731" i="13"/>
  <c r="O731" i="13" s="1"/>
  <c r="P730" i="13"/>
  <c r="O730" i="13"/>
  <c r="N730" i="13"/>
  <c r="M730" i="13"/>
  <c r="L730" i="13"/>
  <c r="U729" i="13"/>
  <c r="T729" i="13"/>
  <c r="S729" i="13"/>
  <c r="R729" i="13"/>
  <c r="Q729" i="13"/>
  <c r="O729" i="13"/>
  <c r="N729" i="13"/>
  <c r="N728" i="13" s="1"/>
  <c r="M729" i="13"/>
  <c r="P729" i="13" s="1"/>
  <c r="L729" i="13"/>
  <c r="L728" i="13" s="1"/>
  <c r="O728" i="13" s="1"/>
  <c r="M728" i="13"/>
  <c r="P728" i="13" s="1"/>
  <c r="J727" i="13"/>
  <c r="I727" i="13"/>
  <c r="J726" i="13"/>
  <c r="I726" i="13"/>
  <c r="K726" i="13" s="1"/>
  <c r="U722" i="13"/>
  <c r="T722" i="13"/>
  <c r="P722" i="13"/>
  <c r="O722" i="13"/>
  <c r="U721" i="13"/>
  <c r="T721" i="13"/>
  <c r="P721" i="13"/>
  <c r="O721" i="13"/>
  <c r="S720" i="13"/>
  <c r="R720" i="13"/>
  <c r="U720" i="13" s="1"/>
  <c r="Q720" i="13"/>
  <c r="T720" i="13" s="1"/>
  <c r="N720" i="13"/>
  <c r="M720" i="13"/>
  <c r="P720" i="13" s="1"/>
  <c r="L720" i="13"/>
  <c r="O720" i="13" s="1"/>
  <c r="U719" i="13"/>
  <c r="T719" i="13"/>
  <c r="P719" i="13"/>
  <c r="O719" i="13"/>
  <c r="U718" i="13"/>
  <c r="T718" i="13"/>
  <c r="P718" i="13"/>
  <c r="O718" i="13"/>
  <c r="S717" i="13"/>
  <c r="R717" i="13"/>
  <c r="U717" i="13" s="1"/>
  <c r="Q717" i="13"/>
  <c r="T717" i="13" s="1"/>
  <c r="N717" i="13"/>
  <c r="M717" i="13"/>
  <c r="P717" i="13" s="1"/>
  <c r="L717" i="13"/>
  <c r="O717" i="13" s="1"/>
  <c r="U716" i="13"/>
  <c r="S716" i="13"/>
  <c r="R716" i="13"/>
  <c r="Q716" i="13"/>
  <c r="P716" i="13"/>
  <c r="O716" i="13"/>
  <c r="N716" i="13"/>
  <c r="M716" i="13"/>
  <c r="L716" i="13"/>
  <c r="U715" i="13"/>
  <c r="T715" i="13"/>
  <c r="S715" i="13"/>
  <c r="R715" i="13"/>
  <c r="R714" i="13" s="1"/>
  <c r="U714" i="13" s="1"/>
  <c r="Q715" i="13"/>
  <c r="O715" i="13"/>
  <c r="N715" i="13"/>
  <c r="N714" i="13" s="1"/>
  <c r="M715" i="13"/>
  <c r="P715" i="13" s="1"/>
  <c r="L715" i="13"/>
  <c r="L714" i="13" s="1"/>
  <c r="O714" i="13" s="1"/>
  <c r="S714" i="13"/>
  <c r="M714" i="13"/>
  <c r="P714" i="13" s="1"/>
  <c r="K712" i="13"/>
  <c r="J712" i="13"/>
  <c r="K710" i="13"/>
  <c r="J710" i="13"/>
  <c r="J709" i="13"/>
  <c r="I709" i="13"/>
  <c r="K708" i="13"/>
  <c r="J708" i="13"/>
  <c r="J707" i="13"/>
  <c r="I707" i="13"/>
  <c r="K707" i="13" s="1"/>
  <c r="K706" i="13"/>
  <c r="J706" i="13"/>
  <c r="J705" i="13"/>
  <c r="I705" i="13"/>
  <c r="K704" i="13"/>
  <c r="J704" i="13"/>
  <c r="J703" i="13"/>
  <c r="I703" i="13"/>
  <c r="K703" i="13" s="1"/>
  <c r="K702" i="13"/>
  <c r="I700" i="13"/>
  <c r="K700" i="13" s="1"/>
  <c r="U698" i="13"/>
  <c r="T698" i="13"/>
  <c r="P698" i="13"/>
  <c r="O698" i="13"/>
  <c r="U697" i="13"/>
  <c r="T697" i="13"/>
  <c r="P697" i="13"/>
  <c r="O697" i="13"/>
  <c r="S696" i="13"/>
  <c r="R696" i="13"/>
  <c r="U696" i="13" s="1"/>
  <c r="Q696" i="13"/>
  <c r="T696" i="13" s="1"/>
  <c r="P696" i="13"/>
  <c r="N696" i="13"/>
  <c r="M696" i="13"/>
  <c r="L696" i="13"/>
  <c r="O696" i="13" s="1"/>
  <c r="S695" i="13"/>
  <c r="R695" i="13"/>
  <c r="R692" i="13" s="1"/>
  <c r="R690" i="13" s="1"/>
  <c r="Q695" i="13"/>
  <c r="P695" i="13"/>
  <c r="O695" i="13"/>
  <c r="U694" i="13"/>
  <c r="T694" i="13"/>
  <c r="P694" i="13"/>
  <c r="O694" i="13"/>
  <c r="O693" i="13"/>
  <c r="N693" i="13"/>
  <c r="M693" i="13"/>
  <c r="P693" i="13" s="1"/>
  <c r="L693" i="13"/>
  <c r="N692" i="13"/>
  <c r="M692" i="13"/>
  <c r="L692" i="13"/>
  <c r="O692" i="13" s="1"/>
  <c r="U691" i="13"/>
  <c r="S691" i="13"/>
  <c r="R691" i="13"/>
  <c r="Q691" i="13"/>
  <c r="P691" i="13"/>
  <c r="O691" i="13"/>
  <c r="N691" i="13"/>
  <c r="N690" i="13" s="1"/>
  <c r="M691" i="13"/>
  <c r="L691" i="13"/>
  <c r="O690" i="13"/>
  <c r="L690" i="13"/>
  <c r="J682" i="13"/>
  <c r="I682" i="13"/>
  <c r="K682" i="13" s="1"/>
  <c r="J681" i="13"/>
  <c r="I681" i="13"/>
  <c r="K681" i="13" s="1"/>
  <c r="J680" i="13"/>
  <c r="J679" i="13"/>
  <c r="I679" i="13"/>
  <c r="K679" i="13" s="1"/>
  <c r="J678" i="13"/>
  <c r="I678" i="13"/>
  <c r="K678" i="13" s="1"/>
  <c r="J677" i="13"/>
  <c r="J676" i="13"/>
  <c r="I676" i="13"/>
  <c r="K676" i="13" s="1"/>
  <c r="I675" i="13"/>
  <c r="K675" i="13" s="1"/>
  <c r="I674" i="13"/>
  <c r="K674" i="13" s="1"/>
  <c r="J673" i="13"/>
  <c r="I673" i="13"/>
  <c r="K673" i="13" s="1"/>
  <c r="J672" i="13"/>
  <c r="J671" i="13"/>
  <c r="J661" i="13"/>
  <c r="I661" i="13"/>
  <c r="K661" i="13" s="1"/>
  <c r="I660" i="13"/>
  <c r="I657" i="13"/>
  <c r="J654" i="13"/>
  <c r="I654" i="13"/>
  <c r="K654" i="13" s="1"/>
  <c r="J653" i="13"/>
  <c r="I653" i="13"/>
  <c r="K653" i="13" s="1"/>
  <c r="J652" i="13"/>
  <c r="I652" i="13"/>
  <c r="K652" i="13" s="1"/>
  <c r="U650" i="13"/>
  <c r="T650" i="13"/>
  <c r="P650" i="13"/>
  <c r="O650" i="13"/>
  <c r="U649" i="13"/>
  <c r="T649" i="13"/>
  <c r="P649" i="13"/>
  <c r="O649" i="13"/>
  <c r="S648" i="13"/>
  <c r="R648" i="13"/>
  <c r="U648" i="13" s="1"/>
  <c r="Q648" i="13"/>
  <c r="T648" i="13" s="1"/>
  <c r="P648" i="13"/>
  <c r="N648" i="13"/>
  <c r="M648" i="13"/>
  <c r="L648" i="13"/>
  <c r="O648" i="13" s="1"/>
  <c r="S647" i="13"/>
  <c r="R647" i="13"/>
  <c r="U647" i="13" s="1"/>
  <c r="Q647" i="13"/>
  <c r="P647" i="13"/>
  <c r="O647" i="13"/>
  <c r="U646" i="13"/>
  <c r="T646" i="13"/>
  <c r="P646" i="13"/>
  <c r="O646" i="13"/>
  <c r="O645" i="13"/>
  <c r="N645" i="13"/>
  <c r="M645" i="13"/>
  <c r="P645" i="13" s="1"/>
  <c r="L645" i="13"/>
  <c r="N644" i="13"/>
  <c r="M644" i="13"/>
  <c r="P644" i="13" s="1"/>
  <c r="L644" i="13"/>
  <c r="O644" i="13" s="1"/>
  <c r="U643" i="13"/>
  <c r="T643" i="13"/>
  <c r="S643" i="13"/>
  <c r="R643" i="13"/>
  <c r="Q643" i="13"/>
  <c r="P643" i="13"/>
  <c r="O643" i="13"/>
  <c r="N643" i="13"/>
  <c r="N642" i="13" s="1"/>
  <c r="M643" i="13"/>
  <c r="L643" i="13"/>
  <c r="O642" i="13"/>
  <c r="L642" i="13"/>
  <c r="J636" i="13"/>
  <c r="J635" i="13"/>
  <c r="I635" i="13"/>
  <c r="K635" i="13" s="1"/>
  <c r="J632" i="13"/>
  <c r="I628" i="13"/>
  <c r="K628" i="13" s="1"/>
  <c r="I627" i="13"/>
  <c r="K627" i="13" s="1"/>
  <c r="J626" i="13"/>
  <c r="I626" i="13"/>
  <c r="I615" i="13" s="1"/>
  <c r="U624" i="13"/>
  <c r="T624" i="13"/>
  <c r="P624" i="13"/>
  <c r="O624" i="13"/>
  <c r="U623" i="13"/>
  <c r="T623" i="13"/>
  <c r="P623" i="13"/>
  <c r="O623" i="13"/>
  <c r="S622" i="13"/>
  <c r="R622" i="13"/>
  <c r="U622" i="13" s="1"/>
  <c r="Q622" i="13"/>
  <c r="T622" i="13" s="1"/>
  <c r="N622" i="13"/>
  <c r="M622" i="13"/>
  <c r="P622" i="13" s="1"/>
  <c r="L622" i="13"/>
  <c r="O622" i="13" s="1"/>
  <c r="S621" i="13"/>
  <c r="S619" i="13" s="1"/>
  <c r="R621" i="13"/>
  <c r="R618" i="13" s="1"/>
  <c r="Q621" i="13"/>
  <c r="Q618" i="13" s="1"/>
  <c r="P621" i="13"/>
  <c r="O621" i="13"/>
  <c r="U620" i="13"/>
  <c r="T620" i="13"/>
  <c r="P620" i="13"/>
  <c r="O620" i="13"/>
  <c r="O619" i="13"/>
  <c r="N619" i="13"/>
  <c r="M619" i="13"/>
  <c r="P619" i="13" s="1"/>
  <c r="L619" i="13"/>
  <c r="N618" i="13"/>
  <c r="M618" i="13"/>
  <c r="L618" i="13"/>
  <c r="O618" i="13" s="1"/>
  <c r="S617" i="13"/>
  <c r="R617" i="13"/>
  <c r="Q617" i="13"/>
  <c r="P617" i="13"/>
  <c r="N617" i="13"/>
  <c r="M617" i="13"/>
  <c r="L617" i="13"/>
  <c r="L616" i="13" s="1"/>
  <c r="O616" i="13" s="1"/>
  <c r="N616" i="13"/>
  <c r="J615" i="13"/>
  <c r="S607" i="13"/>
  <c r="S605" i="13" s="1"/>
  <c r="R607" i="13"/>
  <c r="Q607" i="13"/>
  <c r="N607" i="13"/>
  <c r="N605" i="13" s="1"/>
  <c r="M607" i="13"/>
  <c r="P607" i="13" s="1"/>
  <c r="L607" i="13"/>
  <c r="O607" i="13" s="1"/>
  <c r="U606" i="13"/>
  <c r="T606" i="13"/>
  <c r="P606" i="13"/>
  <c r="O606" i="13"/>
  <c r="S604" i="13"/>
  <c r="R604" i="13"/>
  <c r="U604" i="13" s="1"/>
  <c r="Q604" i="13"/>
  <c r="T604" i="13" s="1"/>
  <c r="N604" i="13"/>
  <c r="N602" i="13" s="1"/>
  <c r="M604" i="13"/>
  <c r="L604" i="13"/>
  <c r="L602" i="13" s="1"/>
  <c r="U603" i="13"/>
  <c r="T603" i="13"/>
  <c r="P603" i="13"/>
  <c r="O603" i="13"/>
  <c r="S600" i="13"/>
  <c r="R600" i="13"/>
  <c r="U600" i="13" s="1"/>
  <c r="Q600" i="13"/>
  <c r="N600" i="13"/>
  <c r="M600" i="13"/>
  <c r="P600" i="13" s="1"/>
  <c r="L600" i="13"/>
  <c r="O600" i="13" s="1"/>
  <c r="U584" i="13"/>
  <c r="T584" i="13"/>
  <c r="N584" i="13"/>
  <c r="N582" i="13" s="1"/>
  <c r="M584" i="13"/>
  <c r="L584" i="13"/>
  <c r="U583" i="13"/>
  <c r="T583" i="13"/>
  <c r="P583" i="13"/>
  <c r="O583" i="13"/>
  <c r="U582" i="13"/>
  <c r="T582" i="13"/>
  <c r="S582" i="13"/>
  <c r="R582" i="13"/>
  <c r="Q582" i="13"/>
  <c r="U581" i="13"/>
  <c r="T581" i="13"/>
  <c r="N581" i="13"/>
  <c r="N579" i="13" s="1"/>
  <c r="M581" i="13"/>
  <c r="L581" i="13"/>
  <c r="O581" i="13" s="1"/>
  <c r="U580" i="13"/>
  <c r="T580" i="13"/>
  <c r="P580" i="13"/>
  <c r="O580" i="13"/>
  <c r="S579" i="13"/>
  <c r="R579" i="13"/>
  <c r="U579" i="13" s="1"/>
  <c r="Q579" i="13"/>
  <c r="T579" i="13" s="1"/>
  <c r="U578" i="13"/>
  <c r="T578" i="13"/>
  <c r="S578" i="13"/>
  <c r="R578" i="13"/>
  <c r="Q578" i="13"/>
  <c r="S577" i="13"/>
  <c r="R577" i="13"/>
  <c r="U577" i="13" s="1"/>
  <c r="Q577" i="13"/>
  <c r="T577" i="13" s="1"/>
  <c r="O577" i="13"/>
  <c r="N577" i="13"/>
  <c r="M577" i="13"/>
  <c r="P577" i="13" s="1"/>
  <c r="L577" i="13"/>
  <c r="R576" i="13"/>
  <c r="U576" i="13" s="1"/>
  <c r="Q576" i="13"/>
  <c r="T576" i="13" s="1"/>
  <c r="K575" i="13"/>
  <c r="J575" i="13"/>
  <c r="I575" i="13"/>
  <c r="U563" i="13"/>
  <c r="T563" i="13"/>
  <c r="N563" i="13"/>
  <c r="N561" i="13" s="1"/>
  <c r="M563" i="13"/>
  <c r="L563" i="13"/>
  <c r="U562" i="13"/>
  <c r="T562" i="13"/>
  <c r="P562" i="13"/>
  <c r="O562" i="13"/>
  <c r="S561" i="13"/>
  <c r="R561" i="13"/>
  <c r="U561" i="13" s="1"/>
  <c r="Q561" i="13"/>
  <c r="T561" i="13" s="1"/>
  <c r="U560" i="13"/>
  <c r="T560" i="13"/>
  <c r="N560" i="13"/>
  <c r="N558" i="13" s="1"/>
  <c r="M560" i="13"/>
  <c r="P560" i="13" s="1"/>
  <c r="L560" i="13"/>
  <c r="O560" i="13" s="1"/>
  <c r="U559" i="13"/>
  <c r="T559" i="13"/>
  <c r="P559" i="13"/>
  <c r="O559" i="13"/>
  <c r="T558" i="13"/>
  <c r="S558" i="13"/>
  <c r="R558" i="13"/>
  <c r="U558" i="13" s="1"/>
  <c r="Q558" i="13"/>
  <c r="T557" i="13"/>
  <c r="S557" i="13"/>
  <c r="S555" i="13" s="1"/>
  <c r="R557" i="13"/>
  <c r="U557" i="13" s="1"/>
  <c r="Q557" i="13"/>
  <c r="S556" i="13"/>
  <c r="R556" i="13"/>
  <c r="U556" i="13" s="1"/>
  <c r="Q556" i="13"/>
  <c r="P556" i="13"/>
  <c r="N556" i="13"/>
  <c r="M556" i="13"/>
  <c r="L556" i="13"/>
  <c r="O556" i="13" s="1"/>
  <c r="U555" i="13"/>
  <c r="R555" i="13"/>
  <c r="J554" i="13"/>
  <c r="I554" i="13"/>
  <c r="K554" i="13" s="1"/>
  <c r="U542" i="13"/>
  <c r="T542" i="13"/>
  <c r="N542" i="13"/>
  <c r="M542" i="13"/>
  <c r="L542" i="13"/>
  <c r="L540" i="13" s="1"/>
  <c r="O540" i="13" s="1"/>
  <c r="U541" i="13"/>
  <c r="T541" i="13"/>
  <c r="P541" i="13"/>
  <c r="O541" i="13"/>
  <c r="T540" i="13"/>
  <c r="S540" i="13"/>
  <c r="R540" i="13"/>
  <c r="U540" i="13" s="1"/>
  <c r="Q540" i="13"/>
  <c r="U539" i="13"/>
  <c r="T539" i="13"/>
  <c r="N539" i="13"/>
  <c r="N537" i="13" s="1"/>
  <c r="M539" i="13"/>
  <c r="P539" i="13" s="1"/>
  <c r="L539" i="13"/>
  <c r="L537" i="13" s="1"/>
  <c r="O537" i="13" s="1"/>
  <c r="U538" i="13"/>
  <c r="T538" i="13"/>
  <c r="P538" i="13"/>
  <c r="O538" i="13"/>
  <c r="U537" i="13"/>
  <c r="S537" i="13"/>
  <c r="R537" i="13"/>
  <c r="Q537" i="13"/>
  <c r="T537" i="13" s="1"/>
  <c r="U536" i="13"/>
  <c r="S536" i="13"/>
  <c r="S534" i="13" s="1"/>
  <c r="R536" i="13"/>
  <c r="Q536" i="13"/>
  <c r="T536" i="13" s="1"/>
  <c r="U535" i="13"/>
  <c r="T535" i="13"/>
  <c r="S535" i="13"/>
  <c r="R535" i="13"/>
  <c r="Q535" i="13"/>
  <c r="O535" i="13"/>
  <c r="N535" i="13"/>
  <c r="M535" i="13"/>
  <c r="L535" i="13"/>
  <c r="R534" i="13"/>
  <c r="U534" i="13" s="1"/>
  <c r="J533" i="13"/>
  <c r="I533" i="13"/>
  <c r="K533" i="13" s="1"/>
  <c r="K524" i="13"/>
  <c r="K523" i="13"/>
  <c r="U521" i="13"/>
  <c r="T521" i="13"/>
  <c r="N521" i="13"/>
  <c r="N519" i="13" s="1"/>
  <c r="M521" i="13"/>
  <c r="L521" i="13"/>
  <c r="O521" i="13" s="1"/>
  <c r="U520" i="13"/>
  <c r="T520" i="13"/>
  <c r="P520" i="13"/>
  <c r="O520" i="13"/>
  <c r="T519" i="13"/>
  <c r="S519" i="13"/>
  <c r="R519" i="13"/>
  <c r="U519" i="13" s="1"/>
  <c r="Q519" i="13"/>
  <c r="U518" i="13"/>
  <c r="T518" i="13"/>
  <c r="N518" i="13"/>
  <c r="M518" i="13"/>
  <c r="L518" i="13"/>
  <c r="U517" i="13"/>
  <c r="T517" i="13"/>
  <c r="P517" i="13"/>
  <c r="O517" i="13"/>
  <c r="U516" i="13"/>
  <c r="T516" i="13"/>
  <c r="S516" i="13"/>
  <c r="R516" i="13"/>
  <c r="Q516" i="13"/>
  <c r="T515" i="13"/>
  <c r="S515" i="13"/>
  <c r="R515" i="13"/>
  <c r="U515" i="13" s="1"/>
  <c r="Q515" i="13"/>
  <c r="T514" i="13"/>
  <c r="S514" i="13"/>
  <c r="R514" i="13"/>
  <c r="U514" i="13" s="1"/>
  <c r="Q514" i="13"/>
  <c r="P514" i="13"/>
  <c r="N514" i="13"/>
  <c r="M514" i="13"/>
  <c r="L514" i="13"/>
  <c r="R513" i="13"/>
  <c r="U513" i="13" s="1"/>
  <c r="Q513" i="13"/>
  <c r="T513" i="13" s="1"/>
  <c r="K512" i="13"/>
  <c r="J512" i="13"/>
  <c r="I512" i="13"/>
  <c r="I509" i="13"/>
  <c r="K509" i="13" s="1"/>
  <c r="K508" i="13"/>
  <c r="I507" i="13"/>
  <c r="K507" i="13" s="1"/>
  <c r="I506" i="13"/>
  <c r="K506" i="13" s="1"/>
  <c r="I505" i="13"/>
  <c r="K505" i="13" s="1"/>
  <c r="I504" i="13"/>
  <c r="K504" i="13" s="1"/>
  <c r="J503" i="13"/>
  <c r="I503" i="13"/>
  <c r="K503" i="13" s="1"/>
  <c r="U501" i="13"/>
  <c r="T501" i="13"/>
  <c r="N501" i="13"/>
  <c r="N499" i="13" s="1"/>
  <c r="M501" i="13"/>
  <c r="M499" i="13" s="1"/>
  <c r="P499" i="13" s="1"/>
  <c r="L501" i="13"/>
  <c r="O501" i="13" s="1"/>
  <c r="U500" i="13"/>
  <c r="T500" i="13"/>
  <c r="P500" i="13"/>
  <c r="O500" i="13"/>
  <c r="S499" i="13"/>
  <c r="R499" i="13"/>
  <c r="U499" i="13" s="1"/>
  <c r="Q499" i="13"/>
  <c r="T499" i="13" s="1"/>
  <c r="S498" i="13"/>
  <c r="S496" i="13" s="1"/>
  <c r="R498" i="13"/>
  <c r="R495" i="13" s="1"/>
  <c r="Q498" i="13"/>
  <c r="N498" i="13"/>
  <c r="M498" i="13"/>
  <c r="M496" i="13" s="1"/>
  <c r="L498" i="13"/>
  <c r="L496" i="13" s="1"/>
  <c r="U497" i="13"/>
  <c r="T497" i="13"/>
  <c r="P497" i="13"/>
  <c r="O497" i="13"/>
  <c r="U494" i="13"/>
  <c r="T494" i="13"/>
  <c r="S494" i="13"/>
  <c r="R494" i="13"/>
  <c r="Q494" i="13"/>
  <c r="O494" i="13"/>
  <c r="N494" i="13"/>
  <c r="M494" i="13"/>
  <c r="L494" i="13"/>
  <c r="J492" i="13"/>
  <c r="J485" i="13"/>
  <c r="I485" i="13"/>
  <c r="K485" i="13" s="1"/>
  <c r="K484" i="13"/>
  <c r="J484" i="13"/>
  <c r="I484" i="13"/>
  <c r="J483" i="13"/>
  <c r="J482" i="13"/>
  <c r="K477" i="13"/>
  <c r="J477" i="13"/>
  <c r="K476" i="13"/>
  <c r="J476" i="13"/>
  <c r="K475" i="13"/>
  <c r="J475" i="13"/>
  <c r="J468" i="13"/>
  <c r="J467" i="13"/>
  <c r="J457" i="13" s="1"/>
  <c r="J456" i="13" s="1"/>
  <c r="J460" i="13"/>
  <c r="J458" i="13" s="1"/>
  <c r="J459" i="13"/>
  <c r="I458" i="13"/>
  <c r="K458" i="13" s="1"/>
  <c r="I457" i="13"/>
  <c r="I456" i="13" s="1"/>
  <c r="K456" i="13" s="1"/>
  <c r="J447" i="13"/>
  <c r="J446" i="13"/>
  <c r="J441" i="13"/>
  <c r="I441" i="13"/>
  <c r="K441" i="13" s="1"/>
  <c r="J440" i="13"/>
  <c r="J423" i="13" s="1"/>
  <c r="J412" i="13" s="1"/>
  <c r="I440" i="13"/>
  <c r="K440" i="13" s="1"/>
  <c r="J433" i="13"/>
  <c r="I433" i="13"/>
  <c r="K433" i="13" s="1"/>
  <c r="J432" i="13"/>
  <c r="I432" i="13"/>
  <c r="K432" i="13" s="1"/>
  <c r="J425" i="13"/>
  <c r="I425" i="13"/>
  <c r="K425" i="13" s="1"/>
  <c r="J424" i="13"/>
  <c r="I424" i="13"/>
  <c r="K424" i="13" s="1"/>
  <c r="U421" i="13"/>
  <c r="T421" i="13"/>
  <c r="N421" i="13"/>
  <c r="M421" i="13"/>
  <c r="P421" i="13" s="1"/>
  <c r="L421" i="13"/>
  <c r="O421" i="13" s="1"/>
  <c r="U420" i="13"/>
  <c r="T420" i="13"/>
  <c r="P420" i="13"/>
  <c r="O420" i="13"/>
  <c r="U419" i="13"/>
  <c r="T419" i="13"/>
  <c r="S419" i="13"/>
  <c r="R419" i="13"/>
  <c r="Q419" i="13"/>
  <c r="S418" i="13"/>
  <c r="S416" i="13" s="1"/>
  <c r="R418" i="13"/>
  <c r="Q418" i="13"/>
  <c r="Q415" i="13" s="1"/>
  <c r="N418" i="13"/>
  <c r="N416" i="13" s="1"/>
  <c r="M418" i="13"/>
  <c r="L418" i="13"/>
  <c r="U417" i="13"/>
  <c r="T417" i="13"/>
  <c r="P417" i="13"/>
  <c r="O417" i="13"/>
  <c r="S414" i="13"/>
  <c r="R414" i="13"/>
  <c r="Q414" i="13"/>
  <c r="P414" i="13"/>
  <c r="O414" i="13"/>
  <c r="N414" i="13"/>
  <c r="M414" i="13"/>
  <c r="L414" i="13"/>
  <c r="U400" i="13"/>
  <c r="T400" i="13"/>
  <c r="P400" i="13"/>
  <c r="O400" i="13"/>
  <c r="U399" i="13"/>
  <c r="T399" i="13"/>
  <c r="P399" i="13"/>
  <c r="O399" i="13"/>
  <c r="S398" i="13"/>
  <c r="R398" i="13"/>
  <c r="U398" i="13" s="1"/>
  <c r="Q398" i="13"/>
  <c r="T398" i="13" s="1"/>
  <c r="N398" i="13"/>
  <c r="M398" i="13"/>
  <c r="P398" i="13" s="1"/>
  <c r="L398" i="13"/>
  <c r="O398" i="13" s="1"/>
  <c r="S397" i="13"/>
  <c r="R397" i="13"/>
  <c r="R394" i="13" s="1"/>
  <c r="U394" i="13" s="1"/>
  <c r="Q397" i="13"/>
  <c r="P397" i="13"/>
  <c r="O397" i="13"/>
  <c r="U396" i="13"/>
  <c r="T396" i="13"/>
  <c r="P396" i="13"/>
  <c r="O396" i="13"/>
  <c r="O395" i="13"/>
  <c r="N395" i="13"/>
  <c r="M395" i="13"/>
  <c r="P395" i="13" s="1"/>
  <c r="L395" i="13"/>
  <c r="N394" i="13"/>
  <c r="M394" i="13"/>
  <c r="L394" i="13"/>
  <c r="O394" i="13" s="1"/>
  <c r="S393" i="13"/>
  <c r="R393" i="13"/>
  <c r="Q393" i="13"/>
  <c r="P393" i="13"/>
  <c r="N393" i="13"/>
  <c r="M393" i="13"/>
  <c r="L393" i="13"/>
  <c r="L392" i="13" s="1"/>
  <c r="O392" i="13" s="1"/>
  <c r="J391" i="13"/>
  <c r="I391" i="13"/>
  <c r="K391" i="13" s="1"/>
  <c r="J388" i="13"/>
  <c r="I388" i="13"/>
  <c r="K388" i="13" s="1"/>
  <c r="K387" i="13"/>
  <c r="J387" i="13"/>
  <c r="J386" i="13"/>
  <c r="I386" i="13"/>
  <c r="K385" i="13"/>
  <c r="J385" i="13"/>
  <c r="U383" i="13"/>
  <c r="T383" i="13"/>
  <c r="N383" i="13"/>
  <c r="N381" i="13" s="1"/>
  <c r="M383" i="13"/>
  <c r="L383" i="13"/>
  <c r="U382" i="13"/>
  <c r="T382" i="13"/>
  <c r="P382" i="13"/>
  <c r="O382" i="13"/>
  <c r="S381" i="13"/>
  <c r="R381" i="13"/>
  <c r="U381" i="13" s="1"/>
  <c r="Q381" i="13"/>
  <c r="T381" i="13" s="1"/>
  <c r="S380" i="13"/>
  <c r="S378" i="13" s="1"/>
  <c r="R380" i="13"/>
  <c r="Q380" i="13"/>
  <c r="Q378" i="13" s="1"/>
  <c r="N380" i="13"/>
  <c r="M380" i="13"/>
  <c r="P380" i="13" s="1"/>
  <c r="L380" i="13"/>
  <c r="L378" i="13" s="1"/>
  <c r="O378" i="13" s="1"/>
  <c r="U379" i="13"/>
  <c r="T379" i="13"/>
  <c r="P379" i="13"/>
  <c r="O379" i="13"/>
  <c r="U376" i="13"/>
  <c r="T376" i="13"/>
  <c r="S376" i="13"/>
  <c r="R376" i="13"/>
  <c r="Q376" i="13"/>
  <c r="P376" i="13"/>
  <c r="O376" i="13"/>
  <c r="N376" i="13"/>
  <c r="M376" i="13"/>
  <c r="L376" i="13"/>
  <c r="D373" i="13"/>
  <c r="K372" i="13"/>
  <c r="J372" i="13"/>
  <c r="J371" i="13"/>
  <c r="J365" i="13" s="1"/>
  <c r="I371" i="13"/>
  <c r="K370" i="13"/>
  <c r="J370" i="13"/>
  <c r="J369" i="13"/>
  <c r="I369" i="13"/>
  <c r="J368" i="13"/>
  <c r="I368" i="13"/>
  <c r="K367" i="13"/>
  <c r="J367" i="13"/>
  <c r="U364" i="13"/>
  <c r="T364" i="13"/>
  <c r="N364" i="13"/>
  <c r="M364" i="13"/>
  <c r="M362" i="13" s="1"/>
  <c r="P362" i="13" s="1"/>
  <c r="L364" i="13"/>
  <c r="O364" i="13" s="1"/>
  <c r="U363" i="13"/>
  <c r="T363" i="13"/>
  <c r="P363" i="13"/>
  <c r="O363" i="13"/>
  <c r="S362" i="13"/>
  <c r="R362" i="13"/>
  <c r="U362" i="13" s="1"/>
  <c r="Q362" i="13"/>
  <c r="T362" i="13" s="1"/>
  <c r="U361" i="13"/>
  <c r="T361" i="13"/>
  <c r="N361" i="13"/>
  <c r="N359" i="13" s="1"/>
  <c r="M361" i="13"/>
  <c r="L361" i="13"/>
  <c r="U360" i="13"/>
  <c r="T360" i="13"/>
  <c r="P360" i="13"/>
  <c r="O360" i="13"/>
  <c r="S359" i="13"/>
  <c r="R359" i="13"/>
  <c r="U359" i="13" s="1"/>
  <c r="Q359" i="13"/>
  <c r="T359" i="13" s="1"/>
  <c r="U358" i="13"/>
  <c r="T358" i="13"/>
  <c r="S358" i="13"/>
  <c r="R358" i="13"/>
  <c r="Q358" i="13"/>
  <c r="S357" i="13"/>
  <c r="R357" i="13"/>
  <c r="U357" i="13" s="1"/>
  <c r="Q357" i="13"/>
  <c r="T357" i="13" s="1"/>
  <c r="P357" i="13"/>
  <c r="N357" i="13"/>
  <c r="M357" i="13"/>
  <c r="L357" i="13"/>
  <c r="O357" i="13" s="1"/>
  <c r="R356" i="13"/>
  <c r="U356" i="13" s="1"/>
  <c r="Q356" i="13"/>
  <c r="T356" i="13" s="1"/>
  <c r="J354" i="13"/>
  <c r="J353" i="13"/>
  <c r="J352" i="13"/>
  <c r="D350" i="13"/>
  <c r="J349" i="13"/>
  <c r="J348" i="13"/>
  <c r="J347" i="13"/>
  <c r="J346" i="13"/>
  <c r="I346" i="13"/>
  <c r="K344" i="13"/>
  <c r="J344" i="13"/>
  <c r="U341" i="13"/>
  <c r="T341" i="13"/>
  <c r="N341" i="13"/>
  <c r="N339" i="13" s="1"/>
  <c r="M341" i="13"/>
  <c r="P341" i="13" s="1"/>
  <c r="L341" i="13"/>
  <c r="L339" i="13" s="1"/>
  <c r="O339" i="13" s="1"/>
  <c r="U340" i="13"/>
  <c r="T340" i="13"/>
  <c r="P340" i="13"/>
  <c r="O340" i="13"/>
  <c r="U339" i="13"/>
  <c r="T339" i="13"/>
  <c r="S339" i="13"/>
  <c r="R339" i="13"/>
  <c r="Q339" i="13"/>
  <c r="U338" i="13"/>
  <c r="T338" i="13"/>
  <c r="N338" i="13"/>
  <c r="N336" i="13" s="1"/>
  <c r="M338" i="13"/>
  <c r="M336" i="13" s="1"/>
  <c r="L338" i="13"/>
  <c r="L336" i="13" s="1"/>
  <c r="U337" i="13"/>
  <c r="T337" i="13"/>
  <c r="P337" i="13"/>
  <c r="O337" i="13"/>
  <c r="T336" i="13"/>
  <c r="S336" i="13"/>
  <c r="R336" i="13"/>
  <c r="U336" i="13" s="1"/>
  <c r="Q336" i="13"/>
  <c r="U335" i="13"/>
  <c r="T335" i="13"/>
  <c r="S335" i="13"/>
  <c r="R335" i="13"/>
  <c r="Q335" i="13"/>
  <c r="Q333" i="13" s="1"/>
  <c r="T334" i="13"/>
  <c r="S334" i="13"/>
  <c r="S333" i="13" s="1"/>
  <c r="R334" i="13"/>
  <c r="R333" i="13" s="1"/>
  <c r="U333" i="13" s="1"/>
  <c r="Q334" i="13"/>
  <c r="N334" i="13"/>
  <c r="M334" i="13"/>
  <c r="L334" i="13"/>
  <c r="T333" i="13"/>
  <c r="I332" i="13"/>
  <c r="I330" i="13"/>
  <c r="I319" i="13" s="1"/>
  <c r="K319" i="13" s="1"/>
  <c r="U328" i="13"/>
  <c r="T328" i="13"/>
  <c r="N328" i="13"/>
  <c r="N326" i="13" s="1"/>
  <c r="M328" i="13"/>
  <c r="P328" i="13" s="1"/>
  <c r="L328" i="13"/>
  <c r="O328" i="13" s="1"/>
  <c r="U327" i="13"/>
  <c r="T327" i="13"/>
  <c r="P327" i="13"/>
  <c r="O327" i="13"/>
  <c r="T326" i="13"/>
  <c r="S326" i="13"/>
  <c r="R326" i="13"/>
  <c r="U326" i="13" s="1"/>
  <c r="Q326" i="13"/>
  <c r="U325" i="13"/>
  <c r="T325" i="13"/>
  <c r="N325" i="13"/>
  <c r="M325" i="13"/>
  <c r="L325" i="13"/>
  <c r="L323" i="13" s="1"/>
  <c r="U324" i="13"/>
  <c r="T324" i="13"/>
  <c r="P324" i="13"/>
  <c r="O324" i="13"/>
  <c r="S323" i="13"/>
  <c r="R323" i="13"/>
  <c r="U323" i="13" s="1"/>
  <c r="Q323" i="13"/>
  <c r="T323" i="13" s="1"/>
  <c r="U322" i="13"/>
  <c r="S322" i="13"/>
  <c r="R322" i="13"/>
  <c r="Q322" i="13"/>
  <c r="T322" i="13" s="1"/>
  <c r="T321" i="13"/>
  <c r="S321" i="13"/>
  <c r="R321" i="13"/>
  <c r="Q321" i="13"/>
  <c r="N321" i="13"/>
  <c r="M321" i="13"/>
  <c r="P321" i="13" s="1"/>
  <c r="L321" i="13"/>
  <c r="O321" i="13" s="1"/>
  <c r="S320" i="13"/>
  <c r="J319" i="13"/>
  <c r="I314" i="13"/>
  <c r="K314" i="13" s="1"/>
  <c r="U311" i="13"/>
  <c r="T311" i="13"/>
  <c r="N311" i="13"/>
  <c r="N309" i="13" s="1"/>
  <c r="M311" i="13"/>
  <c r="P311" i="13" s="1"/>
  <c r="L311" i="13"/>
  <c r="U310" i="13"/>
  <c r="T310" i="13"/>
  <c r="P310" i="13"/>
  <c r="O310" i="13"/>
  <c r="T309" i="13"/>
  <c r="S309" i="13"/>
  <c r="R309" i="13"/>
  <c r="U309" i="13" s="1"/>
  <c r="Q309" i="13"/>
  <c r="S308" i="13"/>
  <c r="S305" i="13" s="1"/>
  <c r="S303" i="13" s="1"/>
  <c r="R308" i="13"/>
  <c r="R305" i="13" s="1"/>
  <c r="Q308" i="13"/>
  <c r="N308" i="13"/>
  <c r="N306" i="13" s="1"/>
  <c r="M308" i="13"/>
  <c r="P308" i="13" s="1"/>
  <c r="L308" i="13"/>
  <c r="O308" i="13" s="1"/>
  <c r="U307" i="13"/>
  <c r="T307" i="13"/>
  <c r="P307" i="13"/>
  <c r="O307" i="13"/>
  <c r="U304" i="13"/>
  <c r="T304" i="13"/>
  <c r="S304" i="13"/>
  <c r="R304" i="13"/>
  <c r="Q304" i="13"/>
  <c r="O304" i="13"/>
  <c r="N304" i="13"/>
  <c r="M304" i="13"/>
  <c r="P304" i="13" s="1"/>
  <c r="L304" i="13"/>
  <c r="J302" i="13"/>
  <c r="I296" i="13"/>
  <c r="K296" i="13" s="1"/>
  <c r="I295" i="13"/>
  <c r="K295" i="13" s="1"/>
  <c r="J293" i="13"/>
  <c r="I293" i="13"/>
  <c r="I292" i="13"/>
  <c r="I281" i="13" s="1"/>
  <c r="K281" i="13" s="1"/>
  <c r="U290" i="13"/>
  <c r="T290" i="13"/>
  <c r="N290" i="13"/>
  <c r="M290" i="13"/>
  <c r="M288" i="13" s="1"/>
  <c r="P288" i="13" s="1"/>
  <c r="L290" i="13"/>
  <c r="U289" i="13"/>
  <c r="T289" i="13"/>
  <c r="P289" i="13"/>
  <c r="O289" i="13"/>
  <c r="U288" i="13"/>
  <c r="T288" i="13"/>
  <c r="S288" i="13"/>
  <c r="R288" i="13"/>
  <c r="Q288" i="13"/>
  <c r="U287" i="13"/>
  <c r="T287" i="13"/>
  <c r="N287" i="13"/>
  <c r="N285" i="13" s="1"/>
  <c r="M287" i="13"/>
  <c r="P287" i="13" s="1"/>
  <c r="L287" i="13"/>
  <c r="U286" i="13"/>
  <c r="T286" i="13"/>
  <c r="P286" i="13"/>
  <c r="O286" i="13"/>
  <c r="S285" i="13"/>
  <c r="R285" i="13"/>
  <c r="U285" i="13" s="1"/>
  <c r="Q285" i="13"/>
  <c r="T285" i="13" s="1"/>
  <c r="U284" i="13"/>
  <c r="S284" i="13"/>
  <c r="R284" i="13"/>
  <c r="Q284" i="13"/>
  <c r="T284" i="13" s="1"/>
  <c r="U283" i="13"/>
  <c r="T283" i="13"/>
  <c r="S283" i="13"/>
  <c r="R283" i="13"/>
  <c r="Q283" i="13"/>
  <c r="O283" i="13"/>
  <c r="N283" i="13"/>
  <c r="M283" i="13"/>
  <c r="L283" i="13"/>
  <c r="S282" i="13"/>
  <c r="R282" i="13"/>
  <c r="U282" i="13" s="1"/>
  <c r="J281" i="13"/>
  <c r="J280" i="13"/>
  <c r="I276" i="13"/>
  <c r="U274" i="13"/>
  <c r="T274" i="13"/>
  <c r="N274" i="13"/>
  <c r="N272" i="13" s="1"/>
  <c r="M274" i="13"/>
  <c r="L274" i="13"/>
  <c r="O274" i="13" s="1"/>
  <c r="U273" i="13"/>
  <c r="T273" i="13"/>
  <c r="P273" i="13"/>
  <c r="O273" i="13"/>
  <c r="S272" i="13"/>
  <c r="R272" i="13"/>
  <c r="U272" i="13" s="1"/>
  <c r="Q272" i="13"/>
  <c r="T272" i="13" s="1"/>
  <c r="S271" i="13"/>
  <c r="R271" i="13"/>
  <c r="R269" i="13" s="1"/>
  <c r="Q271" i="13"/>
  <c r="Q268" i="13" s="1"/>
  <c r="Q266" i="13" s="1"/>
  <c r="N271" i="13"/>
  <c r="M271" i="13"/>
  <c r="L271" i="13"/>
  <c r="L269" i="13" s="1"/>
  <c r="U270" i="13"/>
  <c r="T270" i="13"/>
  <c r="P270" i="13"/>
  <c r="O270" i="13"/>
  <c r="T267" i="13"/>
  <c r="S267" i="13"/>
  <c r="R267" i="13"/>
  <c r="U267" i="13" s="1"/>
  <c r="Q267" i="13"/>
  <c r="N267" i="13"/>
  <c r="M267" i="13"/>
  <c r="P267" i="13" s="1"/>
  <c r="L267" i="13"/>
  <c r="J265" i="13"/>
  <c r="K263" i="13"/>
  <c r="K262" i="13"/>
  <c r="I260" i="13"/>
  <c r="L258" i="13"/>
  <c r="L257" i="13"/>
  <c r="L256" i="13"/>
  <c r="L255" i="13"/>
  <c r="P254" i="13"/>
  <c r="N254" i="13"/>
  <c r="N232" i="13" s="1"/>
  <c r="J253" i="13"/>
  <c r="K252" i="13"/>
  <c r="K251" i="13"/>
  <c r="I249" i="13"/>
  <c r="L247" i="13"/>
  <c r="L246" i="13"/>
  <c r="L245" i="13"/>
  <c r="L244" i="13"/>
  <c r="P243" i="13"/>
  <c r="N243" i="13"/>
  <c r="J242" i="13"/>
  <c r="J241" i="13"/>
  <c r="I241" i="13"/>
  <c r="K241" i="13" s="1"/>
  <c r="K240" i="13"/>
  <c r="J240" i="13"/>
  <c r="I240" i="13"/>
  <c r="J238" i="13"/>
  <c r="N236" i="13"/>
  <c r="N235" i="13"/>
  <c r="N234" i="13"/>
  <c r="N233" i="13"/>
  <c r="J231" i="13"/>
  <c r="I230" i="13"/>
  <c r="K230" i="13" s="1"/>
  <c r="I229" i="13"/>
  <c r="K229" i="13" s="1"/>
  <c r="I228" i="13"/>
  <c r="K228" i="13" s="1"/>
  <c r="L225" i="13"/>
  <c r="L224" i="13"/>
  <c r="L223" i="13"/>
  <c r="P222" i="13"/>
  <c r="N222" i="13"/>
  <c r="J221" i="13"/>
  <c r="I220" i="13"/>
  <c r="I219" i="13"/>
  <c r="K219" i="13" s="1"/>
  <c r="Q217" i="13"/>
  <c r="Q214" i="13" s="1"/>
  <c r="T214" i="13" s="1"/>
  <c r="L217" i="13"/>
  <c r="L216" i="13"/>
  <c r="L215" i="13"/>
  <c r="U214" i="13"/>
  <c r="S214" i="13"/>
  <c r="P214" i="13"/>
  <c r="N214" i="13"/>
  <c r="J213" i="13"/>
  <c r="I212" i="13"/>
  <c r="K212" i="13" s="1"/>
  <c r="I211" i="13"/>
  <c r="K211" i="13" s="1"/>
  <c r="I209" i="13"/>
  <c r="L207" i="13"/>
  <c r="Q206" i="13"/>
  <c r="Q203" i="13" s="1"/>
  <c r="T203" i="13" s="1"/>
  <c r="L206" i="13"/>
  <c r="L205" i="13"/>
  <c r="L204" i="13"/>
  <c r="U203" i="13"/>
  <c r="S203" i="13"/>
  <c r="P203" i="13"/>
  <c r="N203" i="13"/>
  <c r="J202" i="13"/>
  <c r="J199" i="13"/>
  <c r="I198" i="13"/>
  <c r="P196" i="13"/>
  <c r="L196" i="13"/>
  <c r="O196" i="13" s="1"/>
  <c r="J195" i="13"/>
  <c r="S194" i="13"/>
  <c r="S192" i="13" s="1"/>
  <c r="R194" i="13"/>
  <c r="U194" i="13" s="1"/>
  <c r="Q194" i="13"/>
  <c r="N194" i="13"/>
  <c r="N192" i="13" s="1"/>
  <c r="M194" i="13"/>
  <c r="L194" i="13"/>
  <c r="O194" i="13" s="1"/>
  <c r="U193" i="13"/>
  <c r="T193" i="13"/>
  <c r="P193" i="13"/>
  <c r="O193" i="13"/>
  <c r="S191" i="13"/>
  <c r="S189" i="13" s="1"/>
  <c r="R191" i="13"/>
  <c r="Q191" i="13"/>
  <c r="N191" i="13"/>
  <c r="M191" i="13"/>
  <c r="L191" i="13"/>
  <c r="U190" i="13"/>
  <c r="T190" i="13"/>
  <c r="P190" i="13"/>
  <c r="O190" i="13"/>
  <c r="M189" i="13"/>
  <c r="U187" i="13"/>
  <c r="T187" i="13"/>
  <c r="S187" i="13"/>
  <c r="R187" i="13"/>
  <c r="Q187" i="13"/>
  <c r="N187" i="13"/>
  <c r="M187" i="13"/>
  <c r="P187" i="13" s="1"/>
  <c r="L187" i="13"/>
  <c r="O187" i="13" s="1"/>
  <c r="J185" i="13"/>
  <c r="K184" i="13"/>
  <c r="I183" i="13"/>
  <c r="K183" i="13" s="1"/>
  <c r="U181" i="13"/>
  <c r="T181" i="13"/>
  <c r="N181" i="13"/>
  <c r="M181" i="13"/>
  <c r="P181" i="13" s="1"/>
  <c r="L181" i="13"/>
  <c r="U180" i="13"/>
  <c r="T180" i="13"/>
  <c r="P180" i="13"/>
  <c r="O180" i="13"/>
  <c r="U179" i="13"/>
  <c r="T179" i="13"/>
  <c r="S179" i="13"/>
  <c r="R179" i="13"/>
  <c r="Q179" i="13"/>
  <c r="S178" i="13"/>
  <c r="S176" i="13" s="1"/>
  <c r="R178" i="13"/>
  <c r="R175" i="13" s="1"/>
  <c r="U175" i="13" s="1"/>
  <c r="Q178" i="13"/>
  <c r="N178" i="13"/>
  <c r="N176" i="13" s="1"/>
  <c r="M178" i="13"/>
  <c r="L178" i="13"/>
  <c r="U177" i="13"/>
  <c r="T177" i="13"/>
  <c r="P177" i="13"/>
  <c r="O177" i="13"/>
  <c r="U174" i="13"/>
  <c r="S174" i="13"/>
  <c r="R174" i="13"/>
  <c r="Q174" i="13"/>
  <c r="P174" i="13"/>
  <c r="O174" i="13"/>
  <c r="N174" i="13"/>
  <c r="M174" i="13"/>
  <c r="L174" i="13"/>
  <c r="J172" i="13"/>
  <c r="I169" i="13"/>
  <c r="K169" i="13" s="1"/>
  <c r="I168" i="13"/>
  <c r="K168" i="13" s="1"/>
  <c r="I167" i="13"/>
  <c r="K167" i="13" s="1"/>
  <c r="U165" i="13"/>
  <c r="T165" i="13"/>
  <c r="N165" i="13"/>
  <c r="M165" i="13"/>
  <c r="P165" i="13" s="1"/>
  <c r="L165" i="13"/>
  <c r="U164" i="13"/>
  <c r="T164" i="13"/>
  <c r="P164" i="13"/>
  <c r="O164" i="13"/>
  <c r="U163" i="13"/>
  <c r="T163" i="13"/>
  <c r="S163" i="13"/>
  <c r="R163" i="13"/>
  <c r="Q163" i="13"/>
  <c r="S162" i="13"/>
  <c r="S160" i="13" s="1"/>
  <c r="R162" i="13"/>
  <c r="R159" i="13" s="1"/>
  <c r="U159" i="13" s="1"/>
  <c r="Q162" i="13"/>
  <c r="Q160" i="13" s="1"/>
  <c r="T160" i="13" s="1"/>
  <c r="N162" i="13"/>
  <c r="N160" i="13" s="1"/>
  <c r="M162" i="13"/>
  <c r="P162" i="13" s="1"/>
  <c r="L162" i="13"/>
  <c r="U161" i="13"/>
  <c r="T161" i="13"/>
  <c r="P161" i="13"/>
  <c r="O161" i="13"/>
  <c r="U158" i="13"/>
  <c r="S158" i="13"/>
  <c r="R158" i="13"/>
  <c r="Q158" i="13"/>
  <c r="P158" i="13"/>
  <c r="O158" i="13"/>
  <c r="N158" i="13"/>
  <c r="M158" i="13"/>
  <c r="L158" i="13"/>
  <c r="J156" i="13"/>
  <c r="I154" i="13"/>
  <c r="K154" i="13" s="1"/>
  <c r="I153" i="13"/>
  <c r="K153" i="13" s="1"/>
  <c r="I152" i="13"/>
  <c r="I151" i="13"/>
  <c r="K151" i="13" s="1"/>
  <c r="I150" i="13"/>
  <c r="K150" i="13" s="1"/>
  <c r="S147" i="13"/>
  <c r="S145" i="13" s="1"/>
  <c r="R147" i="13"/>
  <c r="Q147" i="13"/>
  <c r="T147" i="13" s="1"/>
  <c r="N147" i="13"/>
  <c r="N145" i="13" s="1"/>
  <c r="M147" i="13"/>
  <c r="L147" i="13"/>
  <c r="L145" i="13" s="1"/>
  <c r="O145" i="13" s="1"/>
  <c r="U146" i="13"/>
  <c r="T146" i="13"/>
  <c r="P146" i="13"/>
  <c r="O146" i="13"/>
  <c r="S144" i="13"/>
  <c r="R144" i="13"/>
  <c r="Q144" i="13"/>
  <c r="Q142" i="13" s="1"/>
  <c r="N144" i="13"/>
  <c r="M144" i="13"/>
  <c r="L144" i="13"/>
  <c r="U143" i="13"/>
  <c r="T143" i="13"/>
  <c r="P143" i="13"/>
  <c r="O143" i="13"/>
  <c r="T140" i="13"/>
  <c r="S140" i="13"/>
  <c r="R140" i="13"/>
  <c r="Q140" i="13"/>
  <c r="N140" i="13"/>
  <c r="M140" i="13"/>
  <c r="L140" i="13"/>
  <c r="O140" i="13" s="1"/>
  <c r="J138" i="13"/>
  <c r="J137" i="13"/>
  <c r="J136" i="13"/>
  <c r="I130" i="13"/>
  <c r="K130" i="13" s="1"/>
  <c r="I129" i="13"/>
  <c r="K129" i="13" s="1"/>
  <c r="I128" i="13"/>
  <c r="K128" i="13" s="1"/>
  <c r="I127" i="13"/>
  <c r="I116" i="13" s="1"/>
  <c r="K116" i="13" s="1"/>
  <c r="S125" i="13"/>
  <c r="R125" i="13"/>
  <c r="Q125" i="13"/>
  <c r="T125" i="13" s="1"/>
  <c r="N125" i="13"/>
  <c r="N123" i="13" s="1"/>
  <c r="M125" i="13"/>
  <c r="P125" i="13" s="1"/>
  <c r="L125" i="13"/>
  <c r="L123" i="13" s="1"/>
  <c r="O123" i="13" s="1"/>
  <c r="U124" i="13"/>
  <c r="T124" i="13"/>
  <c r="P124" i="13"/>
  <c r="O124" i="13"/>
  <c r="S122" i="13"/>
  <c r="S120" i="13" s="1"/>
  <c r="R122" i="13"/>
  <c r="R120" i="13" s="1"/>
  <c r="Q122" i="13"/>
  <c r="Q120" i="13" s="1"/>
  <c r="N122" i="13"/>
  <c r="M122" i="13"/>
  <c r="P122" i="13" s="1"/>
  <c r="L122" i="13"/>
  <c r="L120" i="13" s="1"/>
  <c r="O120" i="13" s="1"/>
  <c r="U121" i="13"/>
  <c r="T121" i="13"/>
  <c r="P121" i="13"/>
  <c r="O121" i="13"/>
  <c r="U118" i="13"/>
  <c r="S118" i="13"/>
  <c r="R118" i="13"/>
  <c r="Q118" i="13"/>
  <c r="T118" i="13" s="1"/>
  <c r="P118" i="13"/>
  <c r="O118" i="13"/>
  <c r="N118" i="13"/>
  <c r="M118" i="13"/>
  <c r="L118" i="13"/>
  <c r="J116" i="13"/>
  <c r="I114" i="13"/>
  <c r="K114" i="13" s="1"/>
  <c r="I113" i="13"/>
  <c r="K113" i="13" s="1"/>
  <c r="I109" i="13"/>
  <c r="I93" i="13" s="1"/>
  <c r="K93" i="13" s="1"/>
  <c r="I108" i="13"/>
  <c r="U102" i="13"/>
  <c r="T102" i="13"/>
  <c r="N102" i="13"/>
  <c r="M102" i="13"/>
  <c r="P102" i="13" s="1"/>
  <c r="L102" i="13"/>
  <c r="U101" i="13"/>
  <c r="T101" i="13"/>
  <c r="P101" i="13"/>
  <c r="O101" i="13"/>
  <c r="U100" i="13"/>
  <c r="S100" i="13"/>
  <c r="R100" i="13"/>
  <c r="Q100" i="13"/>
  <c r="T100" i="13" s="1"/>
  <c r="S99" i="13"/>
  <c r="R99" i="13"/>
  <c r="R97" i="13" s="1"/>
  <c r="Q99" i="13"/>
  <c r="Q96" i="13" s="1"/>
  <c r="Q94" i="13" s="1"/>
  <c r="N99" i="13"/>
  <c r="M99" i="13"/>
  <c r="M97" i="13" s="1"/>
  <c r="L99" i="13"/>
  <c r="L97" i="13" s="1"/>
  <c r="U98" i="13"/>
  <c r="T98" i="13"/>
  <c r="P98" i="13"/>
  <c r="O98" i="13"/>
  <c r="U95" i="13"/>
  <c r="S95" i="13"/>
  <c r="R95" i="13"/>
  <c r="Q95" i="13"/>
  <c r="T95" i="13" s="1"/>
  <c r="N95" i="13"/>
  <c r="M95" i="13"/>
  <c r="P95" i="13" s="1"/>
  <c r="L95" i="13"/>
  <c r="J93" i="13"/>
  <c r="J92" i="13"/>
  <c r="I90" i="13"/>
  <c r="K90" i="13" s="1"/>
  <c r="I89" i="13"/>
  <c r="K89" i="13" s="1"/>
  <c r="I88" i="13"/>
  <c r="K88" i="13" s="1"/>
  <c r="I87" i="13"/>
  <c r="K87" i="13" s="1"/>
  <c r="I86" i="13"/>
  <c r="K86" i="13" s="1"/>
  <c r="I85" i="13"/>
  <c r="K85" i="13" s="1"/>
  <c r="I84" i="13"/>
  <c r="J83" i="13"/>
  <c r="J82" i="13"/>
  <c r="S80" i="13"/>
  <c r="R80" i="13"/>
  <c r="Q80" i="13"/>
  <c r="T80" i="13" s="1"/>
  <c r="N80" i="13"/>
  <c r="N78" i="13" s="1"/>
  <c r="M80" i="13"/>
  <c r="P80" i="13" s="1"/>
  <c r="L80" i="13"/>
  <c r="U79" i="13"/>
  <c r="T79" i="13"/>
  <c r="P79" i="13"/>
  <c r="O79" i="13"/>
  <c r="S77" i="13"/>
  <c r="R77" i="13"/>
  <c r="U77" i="13" s="1"/>
  <c r="Q77" i="13"/>
  <c r="T77" i="13" s="1"/>
  <c r="N77" i="13"/>
  <c r="N75" i="13" s="1"/>
  <c r="M77" i="13"/>
  <c r="L77" i="13"/>
  <c r="U76" i="13"/>
  <c r="T76" i="13"/>
  <c r="P76" i="13"/>
  <c r="O76" i="13"/>
  <c r="U73" i="13"/>
  <c r="T73" i="13"/>
  <c r="S73" i="13"/>
  <c r="R73" i="13"/>
  <c r="Q73" i="13"/>
  <c r="P73" i="13"/>
  <c r="O73" i="13"/>
  <c r="N73" i="13"/>
  <c r="M73" i="13"/>
  <c r="L73" i="13"/>
  <c r="J71" i="13"/>
  <c r="J70" i="13"/>
  <c r="U67" i="13"/>
  <c r="T67" i="13"/>
  <c r="N67" i="13"/>
  <c r="N65" i="13" s="1"/>
  <c r="M67" i="13"/>
  <c r="M65" i="13" s="1"/>
  <c r="L67" i="13"/>
  <c r="U66" i="13"/>
  <c r="T66" i="13"/>
  <c r="P66" i="13"/>
  <c r="O66" i="13"/>
  <c r="T65" i="13"/>
  <c r="S65" i="13"/>
  <c r="R65" i="13"/>
  <c r="U65" i="13" s="1"/>
  <c r="Q65" i="13"/>
  <c r="U64" i="13"/>
  <c r="T64" i="13"/>
  <c r="N64" i="13"/>
  <c r="N62" i="13" s="1"/>
  <c r="M64" i="13"/>
  <c r="M62" i="13" s="1"/>
  <c r="L64" i="13"/>
  <c r="U63" i="13"/>
  <c r="T63" i="13"/>
  <c r="P63" i="13"/>
  <c r="O63" i="13"/>
  <c r="T62" i="13"/>
  <c r="S62" i="13"/>
  <c r="R62" i="13"/>
  <c r="U62" i="13" s="1"/>
  <c r="Q62" i="13"/>
  <c r="U61" i="13"/>
  <c r="S61" i="13"/>
  <c r="S59" i="13" s="1"/>
  <c r="R61" i="13"/>
  <c r="R59" i="13" s="1"/>
  <c r="Q61" i="13"/>
  <c r="T61" i="13" s="1"/>
  <c r="U60" i="13"/>
  <c r="S60" i="13"/>
  <c r="R60" i="13"/>
  <c r="Q60" i="13"/>
  <c r="T60" i="13" s="1"/>
  <c r="P60" i="13"/>
  <c r="O60" i="13"/>
  <c r="N60" i="13"/>
  <c r="M60" i="13"/>
  <c r="L60" i="13"/>
  <c r="U59" i="13"/>
  <c r="Q59" i="13"/>
  <c r="T59" i="13" s="1"/>
  <c r="U52" i="13"/>
  <c r="T52" i="13"/>
  <c r="N52" i="13"/>
  <c r="M52" i="13"/>
  <c r="L52" i="13"/>
  <c r="O52" i="13" s="1"/>
  <c r="U51" i="13"/>
  <c r="T51" i="13"/>
  <c r="P51" i="13"/>
  <c r="O51" i="13"/>
  <c r="U50" i="13"/>
  <c r="S50" i="13"/>
  <c r="R50" i="13"/>
  <c r="Q50" i="13"/>
  <c r="T50" i="13" s="1"/>
  <c r="U49" i="13"/>
  <c r="T49" i="13"/>
  <c r="N49" i="13"/>
  <c r="M49" i="13"/>
  <c r="L49" i="13"/>
  <c r="U48" i="13"/>
  <c r="T48" i="13"/>
  <c r="P48" i="13"/>
  <c r="O48" i="13"/>
  <c r="S47" i="13"/>
  <c r="R47" i="13"/>
  <c r="U47" i="13" s="1"/>
  <c r="Q47" i="13"/>
  <c r="T47" i="13" s="1"/>
  <c r="U46" i="13"/>
  <c r="S46" i="13"/>
  <c r="S44" i="13" s="1"/>
  <c r="R46" i="13"/>
  <c r="Q46" i="13"/>
  <c r="T46" i="13" s="1"/>
  <c r="U45" i="13"/>
  <c r="T45" i="13"/>
  <c r="S45" i="13"/>
  <c r="R45" i="13"/>
  <c r="Q45" i="13"/>
  <c r="Q44" i="13" s="1"/>
  <c r="P45" i="13"/>
  <c r="O45" i="13"/>
  <c r="N45" i="13"/>
  <c r="M45" i="13"/>
  <c r="L45" i="13"/>
  <c r="T44" i="13"/>
  <c r="R44" i="13"/>
  <c r="U44" i="13" s="1"/>
  <c r="T25" i="13"/>
  <c r="S25" i="13"/>
  <c r="R25" i="13"/>
  <c r="Q25" i="13"/>
  <c r="O25" i="13"/>
  <c r="N25" i="13"/>
  <c r="M25" i="13"/>
  <c r="P25" i="13" s="1"/>
  <c r="L25" i="13"/>
  <c r="U22" i="13"/>
  <c r="T22" i="13"/>
  <c r="S22" i="13"/>
  <c r="R22" i="13"/>
  <c r="Q22" i="13"/>
  <c r="O22" i="13"/>
  <c r="N22" i="13"/>
  <c r="N19" i="13" s="1"/>
  <c r="M22" i="13"/>
  <c r="L22" i="13"/>
  <c r="T19" i="13"/>
  <c r="Q19" i="13"/>
  <c r="L19" i="13"/>
  <c r="O19" i="13" s="1"/>
  <c r="A789" i="12"/>
  <c r="A788" i="12"/>
  <c r="J785" i="12"/>
  <c r="I785" i="12"/>
  <c r="J784" i="12"/>
  <c r="I784" i="12"/>
  <c r="J783" i="12"/>
  <c r="I783" i="12"/>
  <c r="K783" i="12" s="1"/>
  <c r="J782" i="12"/>
  <c r="I782" i="12"/>
  <c r="K782" i="12" s="1"/>
  <c r="J781" i="12"/>
  <c r="I781" i="12"/>
  <c r="J780" i="12"/>
  <c r="I780" i="12"/>
  <c r="J779" i="12"/>
  <c r="I779" i="12"/>
  <c r="J778" i="12"/>
  <c r="I778" i="12"/>
  <c r="H777" i="12"/>
  <c r="I776" i="12"/>
  <c r="I775" i="12"/>
  <c r="I774" i="12"/>
  <c r="I772" i="12"/>
  <c r="K772" i="12" s="1"/>
  <c r="I770" i="12"/>
  <c r="K770" i="12" s="1"/>
  <c r="U768" i="12"/>
  <c r="T768" i="12"/>
  <c r="P768" i="12"/>
  <c r="O768" i="12"/>
  <c r="U767" i="12"/>
  <c r="T767" i="12"/>
  <c r="P767" i="12"/>
  <c r="O767" i="12"/>
  <c r="U766" i="12"/>
  <c r="S766" i="12"/>
  <c r="R766" i="12"/>
  <c r="Q766" i="12"/>
  <c r="T766" i="12" s="1"/>
  <c r="O766" i="12"/>
  <c r="N766" i="12"/>
  <c r="M766" i="12"/>
  <c r="P766" i="12" s="1"/>
  <c r="L766" i="12"/>
  <c r="S765" i="12"/>
  <c r="S763" i="12" s="1"/>
  <c r="R765" i="12"/>
  <c r="R763" i="12" s="1"/>
  <c r="Q765" i="12"/>
  <c r="Q763" i="12" s="1"/>
  <c r="P765" i="12"/>
  <c r="O765" i="12"/>
  <c r="U764" i="12"/>
  <c r="T764" i="12"/>
  <c r="P764" i="12"/>
  <c r="O764" i="12"/>
  <c r="P763" i="12"/>
  <c r="N763" i="12"/>
  <c r="M763" i="12"/>
  <c r="L763" i="12"/>
  <c r="O763" i="12" s="1"/>
  <c r="R762" i="12"/>
  <c r="P762" i="12"/>
  <c r="N762" i="12"/>
  <c r="M762" i="12"/>
  <c r="L762" i="12"/>
  <c r="T761" i="12"/>
  <c r="S761" i="12"/>
  <c r="R761" i="12"/>
  <c r="U761" i="12" s="1"/>
  <c r="Q761" i="12"/>
  <c r="P761" i="12"/>
  <c r="N761" i="12"/>
  <c r="M761" i="12"/>
  <c r="M760" i="12" s="1"/>
  <c r="P760" i="12" s="1"/>
  <c r="L761" i="12"/>
  <c r="O761" i="12" s="1"/>
  <c r="N760" i="12"/>
  <c r="J759" i="12"/>
  <c r="J758" i="12"/>
  <c r="I755" i="12"/>
  <c r="K755" i="12" s="1"/>
  <c r="I752" i="12"/>
  <c r="K752" i="12" s="1"/>
  <c r="I749" i="12"/>
  <c r="K749" i="12" s="1"/>
  <c r="I746" i="12"/>
  <c r="K746" i="12" s="1"/>
  <c r="I744" i="12"/>
  <c r="K744" i="12" s="1"/>
  <c r="I742" i="12"/>
  <c r="K742" i="12" s="1"/>
  <c r="I740" i="12"/>
  <c r="K740" i="12" s="1"/>
  <c r="U736" i="12"/>
  <c r="T736" i="12"/>
  <c r="P736" i="12"/>
  <c r="O736" i="12"/>
  <c r="U735" i="12"/>
  <c r="T735" i="12"/>
  <c r="P735" i="12"/>
  <c r="O735" i="12"/>
  <c r="T734" i="12"/>
  <c r="S734" i="12"/>
  <c r="R734" i="12"/>
  <c r="U734" i="12" s="1"/>
  <c r="Q734" i="12"/>
  <c r="P734" i="12"/>
  <c r="N734" i="12"/>
  <c r="M734" i="12"/>
  <c r="L734" i="12"/>
  <c r="O734" i="12" s="1"/>
  <c r="S733" i="12"/>
  <c r="R733" i="12"/>
  <c r="R731" i="12" s="1"/>
  <c r="Q733" i="12"/>
  <c r="Q731" i="12" s="1"/>
  <c r="P733" i="12"/>
  <c r="O733" i="12"/>
  <c r="U732" i="12"/>
  <c r="T732" i="12"/>
  <c r="P732" i="12"/>
  <c r="O732" i="12"/>
  <c r="O731" i="12"/>
  <c r="N731" i="12"/>
  <c r="M731" i="12"/>
  <c r="P731" i="12" s="1"/>
  <c r="L731" i="12"/>
  <c r="O730" i="12"/>
  <c r="N730" i="12"/>
  <c r="M730" i="12"/>
  <c r="P730" i="12" s="1"/>
  <c r="L730" i="12"/>
  <c r="U729" i="12"/>
  <c r="S729" i="12"/>
  <c r="R729" i="12"/>
  <c r="Q729" i="12"/>
  <c r="T729" i="12" s="1"/>
  <c r="O729" i="12"/>
  <c r="N729" i="12"/>
  <c r="N728" i="12" s="1"/>
  <c r="M729" i="12"/>
  <c r="P729" i="12" s="1"/>
  <c r="L729" i="12"/>
  <c r="L728" i="12" s="1"/>
  <c r="O728" i="12" s="1"/>
  <c r="M728" i="12"/>
  <c r="P728" i="12" s="1"/>
  <c r="J727" i="12"/>
  <c r="I727" i="12"/>
  <c r="J726" i="12"/>
  <c r="I726" i="12"/>
  <c r="K726" i="12" s="1"/>
  <c r="U722" i="12"/>
  <c r="T722" i="12"/>
  <c r="P722" i="12"/>
  <c r="O722" i="12"/>
  <c r="U721" i="12"/>
  <c r="T721" i="12"/>
  <c r="P721" i="12"/>
  <c r="O721" i="12"/>
  <c r="U720" i="12"/>
  <c r="S720" i="12"/>
  <c r="R720" i="12"/>
  <c r="Q720" i="12"/>
  <c r="T720" i="12" s="1"/>
  <c r="O720" i="12"/>
  <c r="N720" i="12"/>
  <c r="M720" i="12"/>
  <c r="P720" i="12" s="1"/>
  <c r="L720" i="12"/>
  <c r="U719" i="12"/>
  <c r="T719" i="12"/>
  <c r="P719" i="12"/>
  <c r="O719" i="12"/>
  <c r="U718" i="12"/>
  <c r="T718" i="12"/>
  <c r="P718" i="12"/>
  <c r="O718" i="12"/>
  <c r="U717" i="12"/>
  <c r="S717" i="12"/>
  <c r="R717" i="12"/>
  <c r="Q717" i="12"/>
  <c r="T717" i="12" s="1"/>
  <c r="O717" i="12"/>
  <c r="N717" i="12"/>
  <c r="M717" i="12"/>
  <c r="P717" i="12" s="1"/>
  <c r="L717" i="12"/>
  <c r="U716" i="12"/>
  <c r="S716" i="12"/>
  <c r="R716" i="12"/>
  <c r="Q716" i="12"/>
  <c r="O716" i="12"/>
  <c r="N716" i="12"/>
  <c r="M716" i="12"/>
  <c r="P716" i="12" s="1"/>
  <c r="L716" i="12"/>
  <c r="U715" i="12"/>
  <c r="S715" i="12"/>
  <c r="R715" i="12"/>
  <c r="R714" i="12" s="1"/>
  <c r="U714" i="12" s="1"/>
  <c r="Q715" i="12"/>
  <c r="T715" i="12" s="1"/>
  <c r="O715" i="12"/>
  <c r="N715" i="12"/>
  <c r="N714" i="12" s="1"/>
  <c r="M715" i="12"/>
  <c r="P715" i="12" s="1"/>
  <c r="L715" i="12"/>
  <c r="L714" i="12" s="1"/>
  <c r="O714" i="12" s="1"/>
  <c r="S714" i="12"/>
  <c r="M714" i="12"/>
  <c r="P714" i="12" s="1"/>
  <c r="K712" i="12"/>
  <c r="J712" i="12"/>
  <c r="K710" i="12"/>
  <c r="J710" i="12"/>
  <c r="J709" i="12"/>
  <c r="I709" i="12"/>
  <c r="K708" i="12"/>
  <c r="J708" i="12"/>
  <c r="J707" i="12"/>
  <c r="I707" i="12"/>
  <c r="K707" i="12" s="1"/>
  <c r="K706" i="12"/>
  <c r="J706" i="12"/>
  <c r="J705" i="12"/>
  <c r="I705" i="12"/>
  <c r="K704" i="12"/>
  <c r="J704" i="12"/>
  <c r="J703" i="12"/>
  <c r="I703" i="12"/>
  <c r="K703" i="12" s="1"/>
  <c r="K702" i="12"/>
  <c r="I700" i="12"/>
  <c r="K700" i="12" s="1"/>
  <c r="U698" i="12"/>
  <c r="T698" i="12"/>
  <c r="P698" i="12"/>
  <c r="O698" i="12"/>
  <c r="U697" i="12"/>
  <c r="T697" i="12"/>
  <c r="P697" i="12"/>
  <c r="O697" i="12"/>
  <c r="T696" i="12"/>
  <c r="S696" i="12"/>
  <c r="R696" i="12"/>
  <c r="U696" i="12" s="1"/>
  <c r="Q696" i="12"/>
  <c r="P696" i="12"/>
  <c r="N696" i="12"/>
  <c r="M696" i="12"/>
  <c r="L696" i="12"/>
  <c r="O696" i="12" s="1"/>
  <c r="S695" i="12"/>
  <c r="S692" i="12" s="1"/>
  <c r="S690" i="12" s="1"/>
  <c r="R695" i="12"/>
  <c r="Q695" i="12"/>
  <c r="Q693" i="12" s="1"/>
  <c r="P695" i="12"/>
  <c r="O695" i="12"/>
  <c r="U694" i="12"/>
  <c r="T694" i="12"/>
  <c r="P694" i="12"/>
  <c r="O694" i="12"/>
  <c r="O693" i="12"/>
  <c r="N693" i="12"/>
  <c r="M693" i="12"/>
  <c r="P693" i="12" s="1"/>
  <c r="L693" i="12"/>
  <c r="O692" i="12"/>
  <c r="N692" i="12"/>
  <c r="M692" i="12"/>
  <c r="L692" i="12"/>
  <c r="U691" i="12"/>
  <c r="S691" i="12"/>
  <c r="R691" i="12"/>
  <c r="Q691" i="12"/>
  <c r="O691" i="12"/>
  <c r="N691" i="12"/>
  <c r="N690" i="12" s="1"/>
  <c r="M691" i="12"/>
  <c r="P691" i="12" s="1"/>
  <c r="L691" i="12"/>
  <c r="O690" i="12"/>
  <c r="L690" i="12"/>
  <c r="J682" i="12"/>
  <c r="I682" i="12"/>
  <c r="K682" i="12" s="1"/>
  <c r="J681" i="12"/>
  <c r="I681" i="12"/>
  <c r="K681" i="12" s="1"/>
  <c r="J680" i="12"/>
  <c r="J679" i="12"/>
  <c r="I679" i="12"/>
  <c r="K679" i="12" s="1"/>
  <c r="J678" i="12"/>
  <c r="I678" i="12"/>
  <c r="K678" i="12" s="1"/>
  <c r="J677" i="12"/>
  <c r="J676" i="12"/>
  <c r="I676" i="12"/>
  <c r="K676" i="12" s="1"/>
  <c r="I675" i="12"/>
  <c r="K675" i="12" s="1"/>
  <c r="I674" i="12"/>
  <c r="K674" i="12" s="1"/>
  <c r="J673" i="12"/>
  <c r="I673" i="12"/>
  <c r="K673" i="12" s="1"/>
  <c r="J672" i="12"/>
  <c r="J671" i="12"/>
  <c r="J661" i="12"/>
  <c r="I661" i="12"/>
  <c r="K661" i="12" s="1"/>
  <c r="I660" i="12"/>
  <c r="I657" i="12"/>
  <c r="J654" i="12"/>
  <c r="I654" i="12"/>
  <c r="K654" i="12" s="1"/>
  <c r="J653" i="12"/>
  <c r="I653" i="12"/>
  <c r="K653" i="12" s="1"/>
  <c r="J652" i="12"/>
  <c r="I652" i="12"/>
  <c r="K652" i="12" s="1"/>
  <c r="U650" i="12"/>
  <c r="T650" i="12"/>
  <c r="P650" i="12"/>
  <c r="O650" i="12"/>
  <c r="U649" i="12"/>
  <c r="T649" i="12"/>
  <c r="P649" i="12"/>
  <c r="O649" i="12"/>
  <c r="T648" i="12"/>
  <c r="S648" i="12"/>
  <c r="R648" i="12"/>
  <c r="U648" i="12" s="1"/>
  <c r="Q648" i="12"/>
  <c r="P648" i="12"/>
  <c r="N648" i="12"/>
  <c r="M648" i="12"/>
  <c r="L648" i="12"/>
  <c r="O648" i="12" s="1"/>
  <c r="S647" i="12"/>
  <c r="S645" i="12" s="1"/>
  <c r="R647" i="12"/>
  <c r="U647" i="12" s="1"/>
  <c r="Q647" i="12"/>
  <c r="Q644" i="12" s="1"/>
  <c r="T644" i="12" s="1"/>
  <c r="P647" i="12"/>
  <c r="O647" i="12"/>
  <c r="U646" i="12"/>
  <c r="T646" i="12"/>
  <c r="P646" i="12"/>
  <c r="O646" i="12"/>
  <c r="O645" i="12"/>
  <c r="N645" i="12"/>
  <c r="M645" i="12"/>
  <c r="P645" i="12" s="1"/>
  <c r="L645" i="12"/>
  <c r="O644" i="12"/>
  <c r="N644" i="12"/>
  <c r="M644" i="12"/>
  <c r="L644" i="12"/>
  <c r="U643" i="12"/>
  <c r="S643" i="12"/>
  <c r="R643" i="12"/>
  <c r="Q643" i="12"/>
  <c r="O643" i="12"/>
  <c r="N643" i="12"/>
  <c r="N642" i="12" s="1"/>
  <c r="M643" i="12"/>
  <c r="P643" i="12" s="1"/>
  <c r="L643" i="12"/>
  <c r="O642" i="12"/>
  <c r="L642" i="12"/>
  <c r="J636" i="12"/>
  <c r="J635" i="12"/>
  <c r="I635" i="12"/>
  <c r="K635" i="12" s="1"/>
  <c r="J632" i="12"/>
  <c r="I628" i="12"/>
  <c r="K628" i="12" s="1"/>
  <c r="I627" i="12"/>
  <c r="K627" i="12" s="1"/>
  <c r="J626" i="12"/>
  <c r="I626" i="12"/>
  <c r="K630" i="12" s="1"/>
  <c r="U624" i="12"/>
  <c r="T624" i="12"/>
  <c r="P624" i="12"/>
  <c r="O624" i="12"/>
  <c r="U623" i="12"/>
  <c r="T623" i="12"/>
  <c r="P623" i="12"/>
  <c r="O623" i="12"/>
  <c r="U622" i="12"/>
  <c r="S622" i="12"/>
  <c r="R622" i="12"/>
  <c r="Q622" i="12"/>
  <c r="T622" i="12" s="1"/>
  <c r="O622" i="12"/>
  <c r="N622" i="12"/>
  <c r="M622" i="12"/>
  <c r="P622" i="12" s="1"/>
  <c r="L622" i="12"/>
  <c r="S621" i="12"/>
  <c r="R621" i="12"/>
  <c r="Q621" i="12"/>
  <c r="P621" i="12"/>
  <c r="O621" i="12"/>
  <c r="U620" i="12"/>
  <c r="T620" i="12"/>
  <c r="P620" i="12"/>
  <c r="O620" i="12"/>
  <c r="P619" i="12"/>
  <c r="N619" i="12"/>
  <c r="M619" i="12"/>
  <c r="L619" i="12"/>
  <c r="O619" i="12" s="1"/>
  <c r="P618" i="12"/>
  <c r="N618" i="12"/>
  <c r="N616" i="12" s="1"/>
  <c r="M618" i="12"/>
  <c r="L618" i="12"/>
  <c r="O618" i="12" s="1"/>
  <c r="T617" i="12"/>
  <c r="S617" i="12"/>
  <c r="R617" i="12"/>
  <c r="Q617" i="12"/>
  <c r="P617" i="12"/>
  <c r="N617" i="12"/>
  <c r="M617" i="12"/>
  <c r="L617" i="12"/>
  <c r="P616" i="12"/>
  <c r="M616" i="12"/>
  <c r="J615" i="12"/>
  <c r="S607" i="12"/>
  <c r="S605" i="12" s="1"/>
  <c r="R607" i="12"/>
  <c r="U607" i="12" s="1"/>
  <c r="Q607" i="12"/>
  <c r="T607" i="12" s="1"/>
  <c r="N607" i="12"/>
  <c r="M607" i="12"/>
  <c r="L607" i="12"/>
  <c r="L605" i="12" s="1"/>
  <c r="O605" i="12" s="1"/>
  <c r="U606" i="12"/>
  <c r="T606" i="12"/>
  <c r="P606" i="12"/>
  <c r="O606" i="12"/>
  <c r="S604" i="12"/>
  <c r="S602" i="12" s="1"/>
  <c r="R604" i="12"/>
  <c r="U604" i="12" s="1"/>
  <c r="Q604" i="12"/>
  <c r="N604" i="12"/>
  <c r="N602" i="12" s="1"/>
  <c r="M604" i="12"/>
  <c r="L604" i="12"/>
  <c r="U603" i="12"/>
  <c r="T603" i="12"/>
  <c r="P603" i="12"/>
  <c r="O603" i="12"/>
  <c r="S600" i="12"/>
  <c r="R600" i="12"/>
  <c r="Q600" i="12"/>
  <c r="T600" i="12" s="1"/>
  <c r="O600" i="12"/>
  <c r="N600" i="12"/>
  <c r="M600" i="12"/>
  <c r="P600" i="12" s="1"/>
  <c r="L600" i="12"/>
  <c r="U584" i="12"/>
  <c r="T584" i="12"/>
  <c r="N584" i="12"/>
  <c r="N582" i="12" s="1"/>
  <c r="M584" i="12"/>
  <c r="L584" i="12"/>
  <c r="U583" i="12"/>
  <c r="T583" i="12"/>
  <c r="P583" i="12"/>
  <c r="O583" i="12"/>
  <c r="T582" i="12"/>
  <c r="S582" i="12"/>
  <c r="R582" i="12"/>
  <c r="U582" i="12" s="1"/>
  <c r="Q582" i="12"/>
  <c r="U581" i="12"/>
  <c r="T581" i="12"/>
  <c r="N581" i="12"/>
  <c r="N579" i="12" s="1"/>
  <c r="M581" i="12"/>
  <c r="P581" i="12" s="1"/>
  <c r="L581" i="12"/>
  <c r="U580" i="12"/>
  <c r="T580" i="12"/>
  <c r="P580" i="12"/>
  <c r="O580" i="12"/>
  <c r="U579" i="12"/>
  <c r="S579" i="12"/>
  <c r="R579" i="12"/>
  <c r="Q579" i="12"/>
  <c r="T579" i="12" s="1"/>
  <c r="U578" i="12"/>
  <c r="T578" i="12"/>
  <c r="S578" i="12"/>
  <c r="R578" i="12"/>
  <c r="Q578" i="12"/>
  <c r="U577" i="12"/>
  <c r="S577" i="12"/>
  <c r="R577" i="12"/>
  <c r="R576" i="12" s="1"/>
  <c r="Q577" i="12"/>
  <c r="N577" i="12"/>
  <c r="M577" i="12"/>
  <c r="P577" i="12" s="1"/>
  <c r="L577" i="12"/>
  <c r="U576" i="12"/>
  <c r="S576" i="12"/>
  <c r="J575" i="12"/>
  <c r="I575" i="12"/>
  <c r="K575" i="12" s="1"/>
  <c r="U563" i="12"/>
  <c r="T563" i="12"/>
  <c r="N563" i="12"/>
  <c r="M563" i="12"/>
  <c r="M561" i="12" s="1"/>
  <c r="P561" i="12" s="1"/>
  <c r="L563" i="12"/>
  <c r="O563" i="12" s="1"/>
  <c r="U562" i="12"/>
  <c r="T562" i="12"/>
  <c r="P562" i="12"/>
  <c r="O562" i="12"/>
  <c r="U561" i="12"/>
  <c r="S561" i="12"/>
  <c r="R561" i="12"/>
  <c r="Q561" i="12"/>
  <c r="T561" i="12" s="1"/>
  <c r="U560" i="12"/>
  <c r="T560" i="12"/>
  <c r="N560" i="12"/>
  <c r="N558" i="12" s="1"/>
  <c r="M560" i="12"/>
  <c r="P560" i="12" s="1"/>
  <c r="L560" i="12"/>
  <c r="U559" i="12"/>
  <c r="T559" i="12"/>
  <c r="P559" i="12"/>
  <c r="O559" i="12"/>
  <c r="T558" i="12"/>
  <c r="S558" i="12"/>
  <c r="R558" i="12"/>
  <c r="U558" i="12" s="1"/>
  <c r="Q558" i="12"/>
  <c r="T557" i="12"/>
  <c r="S557" i="12"/>
  <c r="R557" i="12"/>
  <c r="U557" i="12" s="1"/>
  <c r="Q557" i="12"/>
  <c r="T556" i="12"/>
  <c r="S556" i="12"/>
  <c r="R556" i="12"/>
  <c r="Q556" i="12"/>
  <c r="Q555" i="12" s="1"/>
  <c r="P556" i="12"/>
  <c r="N556" i="12"/>
  <c r="M556" i="12"/>
  <c r="L556" i="12"/>
  <c r="T555" i="12"/>
  <c r="S555" i="12"/>
  <c r="J554" i="12"/>
  <c r="I554" i="12"/>
  <c r="K554" i="12" s="1"/>
  <c r="U542" i="12"/>
  <c r="T542" i="12"/>
  <c r="N542" i="12"/>
  <c r="N540" i="12" s="1"/>
  <c r="M542" i="12"/>
  <c r="M540" i="12" s="1"/>
  <c r="P540" i="12" s="1"/>
  <c r="L542" i="12"/>
  <c r="L540" i="12" s="1"/>
  <c r="O540" i="12" s="1"/>
  <c r="U541" i="12"/>
  <c r="T541" i="12"/>
  <c r="P541" i="12"/>
  <c r="O541" i="12"/>
  <c r="T540" i="12"/>
  <c r="S540" i="12"/>
  <c r="R540" i="12"/>
  <c r="U540" i="12" s="1"/>
  <c r="Q540" i="12"/>
  <c r="U539" i="12"/>
  <c r="T539" i="12"/>
  <c r="N539" i="12"/>
  <c r="N537" i="12" s="1"/>
  <c r="M539" i="12"/>
  <c r="M537" i="12" s="1"/>
  <c r="P537" i="12" s="1"/>
  <c r="L539" i="12"/>
  <c r="L537" i="12" s="1"/>
  <c r="O537" i="12" s="1"/>
  <c r="U538" i="12"/>
  <c r="T538" i="12"/>
  <c r="P538" i="12"/>
  <c r="O538" i="12"/>
  <c r="U537" i="12"/>
  <c r="S537" i="12"/>
  <c r="R537" i="12"/>
  <c r="Q537" i="12"/>
  <c r="T537" i="12" s="1"/>
  <c r="U536" i="12"/>
  <c r="S536" i="12"/>
  <c r="R536" i="12"/>
  <c r="Q536" i="12"/>
  <c r="S535" i="12"/>
  <c r="R535" i="12"/>
  <c r="R534" i="12" s="1"/>
  <c r="Q535" i="12"/>
  <c r="T535" i="12" s="1"/>
  <c r="O535" i="12"/>
  <c r="N535" i="12"/>
  <c r="M535" i="12"/>
  <c r="L535" i="12"/>
  <c r="U534" i="12"/>
  <c r="J533" i="12"/>
  <c r="I533" i="12"/>
  <c r="K533" i="12" s="1"/>
  <c r="K524" i="12"/>
  <c r="K523" i="12"/>
  <c r="U521" i="12"/>
  <c r="T521" i="12"/>
  <c r="N521" i="12"/>
  <c r="N519" i="12" s="1"/>
  <c r="M521" i="12"/>
  <c r="P521" i="12" s="1"/>
  <c r="L521" i="12"/>
  <c r="U520" i="12"/>
  <c r="T520" i="12"/>
  <c r="P520" i="12"/>
  <c r="O520" i="12"/>
  <c r="S519" i="12"/>
  <c r="R519" i="12"/>
  <c r="U519" i="12" s="1"/>
  <c r="Q519" i="12"/>
  <c r="T519" i="12" s="1"/>
  <c r="U518" i="12"/>
  <c r="T518" i="12"/>
  <c r="N518" i="12"/>
  <c r="N516" i="12" s="1"/>
  <c r="M518" i="12"/>
  <c r="L518" i="12"/>
  <c r="O518" i="12" s="1"/>
  <c r="U517" i="12"/>
  <c r="T517" i="12"/>
  <c r="P517" i="12"/>
  <c r="O517" i="12"/>
  <c r="U516" i="12"/>
  <c r="T516" i="12"/>
  <c r="S516" i="12"/>
  <c r="R516" i="12"/>
  <c r="Q516" i="12"/>
  <c r="T515" i="12"/>
  <c r="S515" i="12"/>
  <c r="R515" i="12"/>
  <c r="U515" i="12" s="1"/>
  <c r="Q515" i="12"/>
  <c r="S514" i="12"/>
  <c r="S513" i="12" s="1"/>
  <c r="R514" i="12"/>
  <c r="Q514" i="12"/>
  <c r="P514" i="12"/>
  <c r="N514" i="12"/>
  <c r="M514" i="12"/>
  <c r="L514" i="12"/>
  <c r="O514" i="12" s="1"/>
  <c r="J512" i="12"/>
  <c r="I512" i="12"/>
  <c r="K512" i="12" s="1"/>
  <c r="I509" i="12"/>
  <c r="K509" i="12" s="1"/>
  <c r="K508" i="12"/>
  <c r="I507" i="12"/>
  <c r="K507" i="12" s="1"/>
  <c r="I506" i="12"/>
  <c r="K506" i="12" s="1"/>
  <c r="I505" i="12"/>
  <c r="K505" i="12" s="1"/>
  <c r="I504" i="12"/>
  <c r="K504" i="12" s="1"/>
  <c r="I503" i="12"/>
  <c r="U501" i="12"/>
  <c r="T501" i="12"/>
  <c r="N501" i="12"/>
  <c r="N499" i="12" s="1"/>
  <c r="M501" i="12"/>
  <c r="P501" i="12" s="1"/>
  <c r="L501" i="12"/>
  <c r="L499" i="12" s="1"/>
  <c r="O499" i="12" s="1"/>
  <c r="U500" i="12"/>
  <c r="T500" i="12"/>
  <c r="P500" i="12"/>
  <c r="O500" i="12"/>
  <c r="T499" i="12"/>
  <c r="S499" i="12"/>
  <c r="R499" i="12"/>
  <c r="U499" i="12" s="1"/>
  <c r="Q499" i="12"/>
  <c r="S498" i="12"/>
  <c r="S496" i="12" s="1"/>
  <c r="R498" i="12"/>
  <c r="R495" i="12" s="1"/>
  <c r="R493" i="12" s="1"/>
  <c r="U493" i="12" s="1"/>
  <c r="Q498" i="12"/>
  <c r="N498" i="12"/>
  <c r="N496" i="12" s="1"/>
  <c r="M498" i="12"/>
  <c r="M496" i="12" s="1"/>
  <c r="P496" i="12" s="1"/>
  <c r="L498" i="12"/>
  <c r="U497" i="12"/>
  <c r="T497" i="12"/>
  <c r="P497" i="12"/>
  <c r="O497" i="12"/>
  <c r="T494" i="12"/>
  <c r="S494" i="12"/>
  <c r="R494" i="12"/>
  <c r="U494" i="12" s="1"/>
  <c r="Q494" i="12"/>
  <c r="N494" i="12"/>
  <c r="M494" i="12"/>
  <c r="P494" i="12" s="1"/>
  <c r="L494" i="12"/>
  <c r="K485" i="12"/>
  <c r="J485" i="12"/>
  <c r="I485" i="12"/>
  <c r="K484" i="12"/>
  <c r="J484" i="12"/>
  <c r="I484" i="12"/>
  <c r="J483" i="12"/>
  <c r="J482" i="12"/>
  <c r="K477" i="12"/>
  <c r="J477" i="12"/>
  <c r="K476" i="12"/>
  <c r="J476" i="12"/>
  <c r="K475" i="12"/>
  <c r="J475" i="12"/>
  <c r="J468" i="12"/>
  <c r="J467" i="12"/>
  <c r="J460" i="12"/>
  <c r="J458" i="12" s="1"/>
  <c r="J459" i="12"/>
  <c r="I458" i="12"/>
  <c r="K458" i="12" s="1"/>
  <c r="J457" i="12"/>
  <c r="J456" i="12" s="1"/>
  <c r="I457" i="12"/>
  <c r="I456" i="12" s="1"/>
  <c r="K456" i="12" s="1"/>
  <c r="J447" i="12"/>
  <c r="J446" i="12"/>
  <c r="J440" i="12" s="1"/>
  <c r="J423" i="12" s="1"/>
  <c r="J412" i="12" s="1"/>
  <c r="J441" i="12"/>
  <c r="I441" i="12"/>
  <c r="K441" i="12" s="1"/>
  <c r="I440" i="12"/>
  <c r="J433" i="12"/>
  <c r="I433" i="12"/>
  <c r="K433" i="12" s="1"/>
  <c r="J432" i="12"/>
  <c r="I432" i="12"/>
  <c r="K432" i="12" s="1"/>
  <c r="J425" i="12"/>
  <c r="I425" i="12"/>
  <c r="K425" i="12" s="1"/>
  <c r="J424" i="12"/>
  <c r="I424" i="12"/>
  <c r="K424" i="12" s="1"/>
  <c r="U421" i="12"/>
  <c r="T421" i="12"/>
  <c r="N421" i="12"/>
  <c r="N419" i="12" s="1"/>
  <c r="M421" i="12"/>
  <c r="P421" i="12" s="1"/>
  <c r="L421" i="12"/>
  <c r="U420" i="12"/>
  <c r="T420" i="12"/>
  <c r="P420" i="12"/>
  <c r="O420" i="12"/>
  <c r="T419" i="12"/>
  <c r="S419" i="12"/>
  <c r="R419" i="12"/>
  <c r="U419" i="12" s="1"/>
  <c r="Q419" i="12"/>
  <c r="S418" i="12"/>
  <c r="S415" i="12" s="1"/>
  <c r="R418" i="12"/>
  <c r="Q418" i="12"/>
  <c r="N418" i="12"/>
  <c r="M418" i="12"/>
  <c r="M416" i="12" s="1"/>
  <c r="P416" i="12" s="1"/>
  <c r="L418" i="12"/>
  <c r="L416" i="12" s="1"/>
  <c r="O416" i="12" s="1"/>
  <c r="U417" i="12"/>
  <c r="T417" i="12"/>
  <c r="P417" i="12"/>
  <c r="O417" i="12"/>
  <c r="U414" i="12"/>
  <c r="S414" i="12"/>
  <c r="R414" i="12"/>
  <c r="Q414" i="12"/>
  <c r="T414" i="12" s="1"/>
  <c r="P414" i="12"/>
  <c r="O414" i="12"/>
  <c r="N414" i="12"/>
  <c r="M414" i="12"/>
  <c r="L414" i="12"/>
  <c r="U400" i="12"/>
  <c r="T400" i="12"/>
  <c r="P400" i="12"/>
  <c r="O400" i="12"/>
  <c r="U399" i="12"/>
  <c r="T399" i="12"/>
  <c r="P399" i="12"/>
  <c r="O399" i="12"/>
  <c r="U398" i="12"/>
  <c r="S398" i="12"/>
  <c r="R398" i="12"/>
  <c r="Q398" i="12"/>
  <c r="T398" i="12" s="1"/>
  <c r="P398" i="12"/>
  <c r="O398" i="12"/>
  <c r="N398" i="12"/>
  <c r="M398" i="12"/>
  <c r="L398" i="12"/>
  <c r="S397" i="12"/>
  <c r="R397" i="12"/>
  <c r="Q397" i="12"/>
  <c r="Q394" i="12" s="1"/>
  <c r="T394" i="12" s="1"/>
  <c r="P397" i="12"/>
  <c r="O397" i="12"/>
  <c r="U396" i="12"/>
  <c r="T396" i="12"/>
  <c r="P396" i="12"/>
  <c r="O396" i="12"/>
  <c r="N395" i="12"/>
  <c r="M395" i="12"/>
  <c r="P395" i="12" s="1"/>
  <c r="L395" i="12"/>
  <c r="O395" i="12" s="1"/>
  <c r="P394" i="12"/>
  <c r="O394" i="12"/>
  <c r="N394" i="12"/>
  <c r="M394" i="12"/>
  <c r="L394" i="12"/>
  <c r="U393" i="12"/>
  <c r="T393" i="12"/>
  <c r="S393" i="12"/>
  <c r="R393" i="12"/>
  <c r="Q393" i="12"/>
  <c r="O393" i="12"/>
  <c r="N393" i="12"/>
  <c r="N392" i="12" s="1"/>
  <c r="M393" i="12"/>
  <c r="P393" i="12" s="1"/>
  <c r="L393" i="12"/>
  <c r="O392" i="12"/>
  <c r="L392" i="12"/>
  <c r="K391" i="12"/>
  <c r="J391" i="12"/>
  <c r="I391" i="12"/>
  <c r="J388" i="12"/>
  <c r="I388" i="12"/>
  <c r="K388" i="12" s="1"/>
  <c r="K387" i="12"/>
  <c r="J387" i="12"/>
  <c r="J386" i="12"/>
  <c r="I386" i="12"/>
  <c r="K385" i="12"/>
  <c r="J385" i="12"/>
  <c r="U383" i="12"/>
  <c r="T383" i="12"/>
  <c r="N383" i="12"/>
  <c r="N381" i="12" s="1"/>
  <c r="M383" i="12"/>
  <c r="P383" i="12" s="1"/>
  <c r="L383" i="12"/>
  <c r="L381" i="12" s="1"/>
  <c r="O381" i="12" s="1"/>
  <c r="U382" i="12"/>
  <c r="T382" i="12"/>
  <c r="P382" i="12"/>
  <c r="O382" i="12"/>
  <c r="U381" i="12"/>
  <c r="S381" i="12"/>
  <c r="R381" i="12"/>
  <c r="Q381" i="12"/>
  <c r="T381" i="12" s="1"/>
  <c r="S380" i="12"/>
  <c r="S377" i="12" s="1"/>
  <c r="S375" i="12" s="1"/>
  <c r="R380" i="12"/>
  <c r="Q380" i="12"/>
  <c r="N380" i="12"/>
  <c r="N378" i="12" s="1"/>
  <c r="M380" i="12"/>
  <c r="L380" i="12"/>
  <c r="U379" i="12"/>
  <c r="T379" i="12"/>
  <c r="P379" i="12"/>
  <c r="O379" i="12"/>
  <c r="T376" i="12"/>
  <c r="S376" i="12"/>
  <c r="R376" i="12"/>
  <c r="U376" i="12" s="1"/>
  <c r="Q376" i="12"/>
  <c r="N376" i="12"/>
  <c r="M376" i="12"/>
  <c r="L376" i="12"/>
  <c r="O376" i="12" s="1"/>
  <c r="D373" i="12"/>
  <c r="K372" i="12"/>
  <c r="J372" i="12"/>
  <c r="J371" i="12"/>
  <c r="J365" i="12" s="1"/>
  <c r="I371" i="12"/>
  <c r="K370" i="12"/>
  <c r="J370" i="12"/>
  <c r="J369" i="12"/>
  <c r="I369" i="12"/>
  <c r="J368" i="12"/>
  <c r="I368" i="12"/>
  <c r="K367" i="12"/>
  <c r="J367" i="12"/>
  <c r="U364" i="12"/>
  <c r="T364" i="12"/>
  <c r="N364" i="12"/>
  <c r="N362" i="12" s="1"/>
  <c r="M364" i="12"/>
  <c r="L364" i="12"/>
  <c r="O364" i="12" s="1"/>
  <c r="U363" i="12"/>
  <c r="T363" i="12"/>
  <c r="P363" i="12"/>
  <c r="O363" i="12"/>
  <c r="S362" i="12"/>
  <c r="R362" i="12"/>
  <c r="U362" i="12" s="1"/>
  <c r="Q362" i="12"/>
  <c r="T362" i="12" s="1"/>
  <c r="U361" i="12"/>
  <c r="T361" i="12"/>
  <c r="N361" i="12"/>
  <c r="M361" i="12"/>
  <c r="L361" i="12"/>
  <c r="U360" i="12"/>
  <c r="T360" i="12"/>
  <c r="P360" i="12"/>
  <c r="O360" i="12"/>
  <c r="U359" i="12"/>
  <c r="T359" i="12"/>
  <c r="S359" i="12"/>
  <c r="R359" i="12"/>
  <c r="Q359" i="12"/>
  <c r="N359" i="12"/>
  <c r="S358" i="12"/>
  <c r="R358" i="12"/>
  <c r="U358" i="12" s="1"/>
  <c r="Q358" i="12"/>
  <c r="T358" i="12" s="1"/>
  <c r="U357" i="12"/>
  <c r="S357" i="12"/>
  <c r="S356" i="12" s="1"/>
  <c r="R357" i="12"/>
  <c r="Q357" i="12"/>
  <c r="T357" i="12" s="1"/>
  <c r="N357" i="12"/>
  <c r="M357" i="12"/>
  <c r="L357" i="12"/>
  <c r="J354" i="12"/>
  <c r="J353" i="12"/>
  <c r="J352" i="12"/>
  <c r="D350" i="12"/>
  <c r="J349" i="12"/>
  <c r="J348" i="12"/>
  <c r="J347" i="12"/>
  <c r="J346" i="12"/>
  <c r="I346" i="12"/>
  <c r="K344" i="12"/>
  <c r="J344" i="12"/>
  <c r="U341" i="12"/>
  <c r="T341" i="12"/>
  <c r="N341" i="12"/>
  <c r="N339" i="12" s="1"/>
  <c r="M341" i="12"/>
  <c r="L341" i="12"/>
  <c r="U340" i="12"/>
  <c r="T340" i="12"/>
  <c r="P340" i="12"/>
  <c r="O340" i="12"/>
  <c r="T339" i="12"/>
  <c r="S339" i="12"/>
  <c r="R339" i="12"/>
  <c r="U339" i="12" s="1"/>
  <c r="Q339" i="12"/>
  <c r="U338" i="12"/>
  <c r="T338" i="12"/>
  <c r="N338" i="12"/>
  <c r="M338" i="12"/>
  <c r="M336" i="12" s="1"/>
  <c r="L338" i="12"/>
  <c r="L336" i="12" s="1"/>
  <c r="U337" i="12"/>
  <c r="T337" i="12"/>
  <c r="P337" i="12"/>
  <c r="O337" i="12"/>
  <c r="S336" i="12"/>
  <c r="R336" i="12"/>
  <c r="U336" i="12" s="1"/>
  <c r="Q336" i="12"/>
  <c r="T336" i="12" s="1"/>
  <c r="U335" i="12"/>
  <c r="S335" i="12"/>
  <c r="R335" i="12"/>
  <c r="Q335" i="12"/>
  <c r="T335" i="12" s="1"/>
  <c r="U334" i="12"/>
  <c r="T334" i="12"/>
  <c r="S334" i="12"/>
  <c r="R334" i="12"/>
  <c r="Q334" i="12"/>
  <c r="O334" i="12"/>
  <c r="N334" i="12"/>
  <c r="M334" i="12"/>
  <c r="P334" i="12" s="1"/>
  <c r="L334" i="12"/>
  <c r="R333" i="12"/>
  <c r="U333" i="12" s="1"/>
  <c r="Q333" i="12"/>
  <c r="T333" i="12" s="1"/>
  <c r="I332" i="12"/>
  <c r="I330" i="12"/>
  <c r="K330" i="12" s="1"/>
  <c r="U328" i="12"/>
  <c r="T328" i="12"/>
  <c r="N328" i="12"/>
  <c r="N326" i="12" s="1"/>
  <c r="M328" i="12"/>
  <c r="M326" i="12" s="1"/>
  <c r="P326" i="12" s="1"/>
  <c r="L328" i="12"/>
  <c r="L326" i="12" s="1"/>
  <c r="O326" i="12" s="1"/>
  <c r="U327" i="12"/>
  <c r="T327" i="12"/>
  <c r="P327" i="12"/>
  <c r="O327" i="12"/>
  <c r="U326" i="12"/>
  <c r="T326" i="12"/>
  <c r="S326" i="12"/>
  <c r="R326" i="12"/>
  <c r="Q326" i="12"/>
  <c r="U325" i="12"/>
  <c r="T325" i="12"/>
  <c r="N325" i="12"/>
  <c r="M325" i="12"/>
  <c r="M323" i="12" s="1"/>
  <c r="P323" i="12" s="1"/>
  <c r="L325" i="12"/>
  <c r="U324" i="12"/>
  <c r="T324" i="12"/>
  <c r="P324" i="12"/>
  <c r="O324" i="12"/>
  <c r="T323" i="12"/>
  <c r="S323" i="12"/>
  <c r="R323" i="12"/>
  <c r="U323" i="12" s="1"/>
  <c r="Q323" i="12"/>
  <c r="U322" i="12"/>
  <c r="T322" i="12"/>
  <c r="S322" i="12"/>
  <c r="R322" i="12"/>
  <c r="Q322" i="12"/>
  <c r="S321" i="12"/>
  <c r="S320" i="12" s="1"/>
  <c r="R321" i="12"/>
  <c r="U321" i="12" s="1"/>
  <c r="Q321" i="12"/>
  <c r="Q320" i="12" s="1"/>
  <c r="P321" i="12"/>
  <c r="N321" i="12"/>
  <c r="M321" i="12"/>
  <c r="L321" i="12"/>
  <c r="O321" i="12" s="1"/>
  <c r="T320" i="12"/>
  <c r="R320" i="12"/>
  <c r="U320" i="12" s="1"/>
  <c r="J319" i="12"/>
  <c r="I314" i="12"/>
  <c r="K314" i="12" s="1"/>
  <c r="U311" i="12"/>
  <c r="T311" i="12"/>
  <c r="N311" i="12"/>
  <c r="N309" i="12" s="1"/>
  <c r="M311" i="12"/>
  <c r="L311" i="12"/>
  <c r="O311" i="12" s="1"/>
  <c r="U310" i="12"/>
  <c r="T310" i="12"/>
  <c r="P310" i="12"/>
  <c r="O310" i="12"/>
  <c r="T309" i="12"/>
  <c r="S309" i="12"/>
  <c r="R309" i="12"/>
  <c r="U309" i="12" s="1"/>
  <c r="Q309" i="12"/>
  <c r="S308" i="12"/>
  <c r="S306" i="12" s="1"/>
  <c r="R308" i="12"/>
  <c r="U308" i="12" s="1"/>
  <c r="Q308" i="12"/>
  <c r="T308" i="12" s="1"/>
  <c r="N308" i="12"/>
  <c r="N306" i="12" s="1"/>
  <c r="M308" i="12"/>
  <c r="L308" i="12"/>
  <c r="L306" i="12" s="1"/>
  <c r="O306" i="12" s="1"/>
  <c r="U307" i="12"/>
  <c r="T307" i="12"/>
  <c r="P307" i="12"/>
  <c r="O307" i="12"/>
  <c r="U304" i="12"/>
  <c r="T304" i="12"/>
  <c r="S304" i="12"/>
  <c r="R304" i="12"/>
  <c r="Q304" i="12"/>
  <c r="O304" i="12"/>
  <c r="N304" i="12"/>
  <c r="M304" i="12"/>
  <c r="P304" i="12" s="1"/>
  <c r="L304" i="12"/>
  <c r="J302" i="12"/>
  <c r="I296" i="12"/>
  <c r="K296" i="12" s="1"/>
  <c r="I295" i="12"/>
  <c r="K295" i="12" s="1"/>
  <c r="J293" i="12"/>
  <c r="I293" i="12"/>
  <c r="I292" i="12"/>
  <c r="I281" i="12" s="1"/>
  <c r="K281" i="12" s="1"/>
  <c r="U290" i="12"/>
  <c r="T290" i="12"/>
  <c r="N290" i="12"/>
  <c r="M290" i="12"/>
  <c r="M288" i="12" s="1"/>
  <c r="P288" i="12" s="1"/>
  <c r="L290" i="12"/>
  <c r="L288" i="12" s="1"/>
  <c r="O288" i="12" s="1"/>
  <c r="U289" i="12"/>
  <c r="T289" i="12"/>
  <c r="P289" i="12"/>
  <c r="O289" i="12"/>
  <c r="U288" i="12"/>
  <c r="S288" i="12"/>
  <c r="R288" i="12"/>
  <c r="Q288" i="12"/>
  <c r="T288" i="12" s="1"/>
  <c r="U287" i="12"/>
  <c r="T287" i="12"/>
  <c r="N287" i="12"/>
  <c r="N285" i="12" s="1"/>
  <c r="M287" i="12"/>
  <c r="L287" i="12"/>
  <c r="L285" i="12" s="1"/>
  <c r="O285" i="12" s="1"/>
  <c r="U286" i="12"/>
  <c r="T286" i="12"/>
  <c r="P286" i="12"/>
  <c r="O286" i="12"/>
  <c r="T285" i="12"/>
  <c r="S285" i="12"/>
  <c r="R285" i="12"/>
  <c r="U285" i="12" s="1"/>
  <c r="Q285" i="12"/>
  <c r="U284" i="12"/>
  <c r="S284" i="12"/>
  <c r="R284" i="12"/>
  <c r="Q284" i="12"/>
  <c r="Q282" i="12" s="1"/>
  <c r="T282" i="12" s="1"/>
  <c r="T283" i="12"/>
  <c r="S283" i="12"/>
  <c r="R283" i="12"/>
  <c r="U283" i="12" s="1"/>
  <c r="Q283" i="12"/>
  <c r="P283" i="12"/>
  <c r="N283" i="12"/>
  <c r="M283" i="12"/>
  <c r="L283" i="12"/>
  <c r="O283" i="12" s="1"/>
  <c r="S282" i="12"/>
  <c r="J281" i="12"/>
  <c r="J280" i="12"/>
  <c r="I276" i="12"/>
  <c r="K276" i="12" s="1"/>
  <c r="U274" i="12"/>
  <c r="T274" i="12"/>
  <c r="N274" i="12"/>
  <c r="N272" i="12" s="1"/>
  <c r="M274" i="12"/>
  <c r="L274" i="12"/>
  <c r="O274" i="12" s="1"/>
  <c r="U273" i="12"/>
  <c r="T273" i="12"/>
  <c r="P273" i="12"/>
  <c r="O273" i="12"/>
  <c r="S272" i="12"/>
  <c r="R272" i="12"/>
  <c r="U272" i="12" s="1"/>
  <c r="Q272" i="12"/>
  <c r="T272" i="12" s="1"/>
  <c r="S271" i="12"/>
  <c r="R271" i="12"/>
  <c r="Q271" i="12"/>
  <c r="Q268" i="12" s="1"/>
  <c r="N271" i="12"/>
  <c r="M271" i="12"/>
  <c r="L271" i="12"/>
  <c r="L269" i="12" s="1"/>
  <c r="U270" i="12"/>
  <c r="T270" i="12"/>
  <c r="P270" i="12"/>
  <c r="O270" i="12"/>
  <c r="T267" i="12"/>
  <c r="S267" i="12"/>
  <c r="R267" i="12"/>
  <c r="Q267" i="12"/>
  <c r="O267" i="12"/>
  <c r="N267" i="12"/>
  <c r="M267" i="12"/>
  <c r="P267" i="12" s="1"/>
  <c r="L267" i="12"/>
  <c r="J265" i="12"/>
  <c r="K263" i="12"/>
  <c r="K262" i="12"/>
  <c r="I260" i="12"/>
  <c r="L258" i="12"/>
  <c r="L257" i="12"/>
  <c r="L256" i="12"/>
  <c r="L255" i="12"/>
  <c r="P254" i="12"/>
  <c r="N254" i="12"/>
  <c r="J253" i="12"/>
  <c r="K252" i="12"/>
  <c r="K251" i="12"/>
  <c r="I249" i="12"/>
  <c r="L247" i="12"/>
  <c r="L246" i="12"/>
  <c r="L245" i="12"/>
  <c r="L244" i="12"/>
  <c r="P243" i="12"/>
  <c r="N243" i="12"/>
  <c r="J242" i="12"/>
  <c r="J241" i="12"/>
  <c r="I241" i="12"/>
  <c r="K241" i="12" s="1"/>
  <c r="J240" i="12"/>
  <c r="I240" i="12"/>
  <c r="K240" i="12" s="1"/>
  <c r="J238" i="12"/>
  <c r="N236" i="12"/>
  <c r="N235" i="12"/>
  <c r="N234" i="12"/>
  <c r="N233" i="12"/>
  <c r="N232" i="12"/>
  <c r="J231" i="12"/>
  <c r="I230" i="12"/>
  <c r="K230" i="12" s="1"/>
  <c r="I229" i="12"/>
  <c r="K229" i="12" s="1"/>
  <c r="I228" i="12"/>
  <c r="K228" i="12" s="1"/>
  <c r="L225" i="12"/>
  <c r="L224" i="12"/>
  <c r="L223" i="12"/>
  <c r="P222" i="12"/>
  <c r="N222" i="12"/>
  <c r="J221" i="12"/>
  <c r="I220" i="12"/>
  <c r="I219" i="12"/>
  <c r="K219" i="12" s="1"/>
  <c r="Q217" i="12"/>
  <c r="Q214" i="12" s="1"/>
  <c r="T214" i="12" s="1"/>
  <c r="L217" i="12"/>
  <c r="L216" i="12"/>
  <c r="L215" i="12"/>
  <c r="U214" i="12"/>
  <c r="S214" i="12"/>
  <c r="P214" i="12"/>
  <c r="N214" i="12"/>
  <c r="J213" i="12"/>
  <c r="I212" i="12"/>
  <c r="K212" i="12" s="1"/>
  <c r="I211" i="12"/>
  <c r="K211" i="12" s="1"/>
  <c r="I209" i="12"/>
  <c r="L207" i="12"/>
  <c r="Q206" i="12"/>
  <c r="Q203" i="12" s="1"/>
  <c r="T203" i="12" s="1"/>
  <c r="L206" i="12"/>
  <c r="L205" i="12"/>
  <c r="L204" i="12"/>
  <c r="U203" i="12"/>
  <c r="S203" i="12"/>
  <c r="P203" i="12"/>
  <c r="N203" i="12"/>
  <c r="J202" i="12"/>
  <c r="J199" i="12"/>
  <c r="I198" i="12"/>
  <c r="K198" i="12" s="1"/>
  <c r="P196" i="12"/>
  <c r="L196" i="12"/>
  <c r="O196" i="12" s="1"/>
  <c r="J195" i="12"/>
  <c r="S194" i="12"/>
  <c r="S192" i="12" s="1"/>
  <c r="R194" i="12"/>
  <c r="U194" i="12" s="1"/>
  <c r="Q194" i="12"/>
  <c r="Q192" i="12" s="1"/>
  <c r="T192" i="12" s="1"/>
  <c r="N194" i="12"/>
  <c r="N192" i="12" s="1"/>
  <c r="M194" i="12"/>
  <c r="M192" i="12" s="1"/>
  <c r="P192" i="12" s="1"/>
  <c r="L194" i="12"/>
  <c r="U193" i="12"/>
  <c r="T193" i="12"/>
  <c r="P193" i="12"/>
  <c r="O193" i="12"/>
  <c r="S191" i="12"/>
  <c r="S189" i="12" s="1"/>
  <c r="R191" i="12"/>
  <c r="R189" i="12" s="1"/>
  <c r="Q191" i="12"/>
  <c r="Q189" i="12" s="1"/>
  <c r="N191" i="12"/>
  <c r="M191" i="12"/>
  <c r="M189" i="12" s="1"/>
  <c r="L191" i="12"/>
  <c r="L189" i="12" s="1"/>
  <c r="U190" i="12"/>
  <c r="T190" i="12"/>
  <c r="P190" i="12"/>
  <c r="O190" i="12"/>
  <c r="U187" i="12"/>
  <c r="S187" i="12"/>
  <c r="R187" i="12"/>
  <c r="Q187" i="12"/>
  <c r="T187" i="12" s="1"/>
  <c r="P187" i="12"/>
  <c r="O187" i="12"/>
  <c r="N187" i="12"/>
  <c r="M187" i="12"/>
  <c r="L187" i="12"/>
  <c r="J185" i="12"/>
  <c r="K184" i="12"/>
  <c r="I183" i="12"/>
  <c r="K183" i="12" s="1"/>
  <c r="U181" i="12"/>
  <c r="T181" i="12"/>
  <c r="N181" i="12"/>
  <c r="N179" i="12" s="1"/>
  <c r="M181" i="12"/>
  <c r="L181" i="12"/>
  <c r="O181" i="12" s="1"/>
  <c r="U180" i="12"/>
  <c r="T180" i="12"/>
  <c r="P180" i="12"/>
  <c r="O180" i="12"/>
  <c r="U179" i="12"/>
  <c r="S179" i="12"/>
  <c r="R179" i="12"/>
  <c r="Q179" i="12"/>
  <c r="T179" i="12" s="1"/>
  <c r="S178" i="12"/>
  <c r="S176" i="12" s="1"/>
  <c r="R178" i="12"/>
  <c r="R176" i="12" s="1"/>
  <c r="U176" i="12" s="1"/>
  <c r="Q178" i="12"/>
  <c r="Q176" i="12" s="1"/>
  <c r="T176" i="12" s="1"/>
  <c r="N178" i="12"/>
  <c r="N176" i="12" s="1"/>
  <c r="M178" i="12"/>
  <c r="L178" i="12"/>
  <c r="U177" i="12"/>
  <c r="T177" i="12"/>
  <c r="P177" i="12"/>
  <c r="O177" i="12"/>
  <c r="T174" i="12"/>
  <c r="S174" i="12"/>
  <c r="R174" i="12"/>
  <c r="Q174" i="12"/>
  <c r="N174" i="12"/>
  <c r="M174" i="12"/>
  <c r="P174" i="12" s="1"/>
  <c r="L174" i="12"/>
  <c r="O174" i="12" s="1"/>
  <c r="J172" i="12"/>
  <c r="I169" i="12"/>
  <c r="K169" i="12" s="1"/>
  <c r="I168" i="12"/>
  <c r="K168" i="12" s="1"/>
  <c r="I167" i="12"/>
  <c r="K167" i="12" s="1"/>
  <c r="U165" i="12"/>
  <c r="T165" i="12"/>
  <c r="N165" i="12"/>
  <c r="N163" i="12" s="1"/>
  <c r="M165" i="12"/>
  <c r="M163" i="12" s="1"/>
  <c r="P163" i="12" s="1"/>
  <c r="L165" i="12"/>
  <c r="L163" i="12" s="1"/>
  <c r="O163" i="12" s="1"/>
  <c r="U164" i="12"/>
  <c r="T164" i="12"/>
  <c r="P164" i="12"/>
  <c r="O164" i="12"/>
  <c r="U163" i="12"/>
  <c r="T163" i="12"/>
  <c r="S163" i="12"/>
  <c r="R163" i="12"/>
  <c r="Q163" i="12"/>
  <c r="S162" i="12"/>
  <c r="S160" i="12" s="1"/>
  <c r="R162" i="12"/>
  <c r="R160" i="12" s="1"/>
  <c r="U160" i="12" s="1"/>
  <c r="Q162" i="12"/>
  <c r="Q160" i="12" s="1"/>
  <c r="T160" i="12" s="1"/>
  <c r="N162" i="12"/>
  <c r="N160" i="12" s="1"/>
  <c r="M162" i="12"/>
  <c r="M160" i="12" s="1"/>
  <c r="P160" i="12" s="1"/>
  <c r="L162" i="12"/>
  <c r="L160" i="12" s="1"/>
  <c r="O160" i="12" s="1"/>
  <c r="U161" i="12"/>
  <c r="T161" i="12"/>
  <c r="P161" i="12"/>
  <c r="O161" i="12"/>
  <c r="S158" i="12"/>
  <c r="R158" i="12"/>
  <c r="U158" i="12" s="1"/>
  <c r="Q158" i="12"/>
  <c r="T158" i="12" s="1"/>
  <c r="P158" i="12"/>
  <c r="N158" i="12"/>
  <c r="M158" i="12"/>
  <c r="L158" i="12"/>
  <c r="O158" i="12" s="1"/>
  <c r="J156" i="12"/>
  <c r="I154" i="12"/>
  <c r="K154" i="12" s="1"/>
  <c r="I153" i="12"/>
  <c r="K153" i="12" s="1"/>
  <c r="I152" i="12"/>
  <c r="I137" i="12" s="1"/>
  <c r="K137" i="12" s="1"/>
  <c r="I151" i="12"/>
  <c r="K151" i="12" s="1"/>
  <c r="I150" i="12"/>
  <c r="K150" i="12" s="1"/>
  <c r="S147" i="12"/>
  <c r="S145" i="12" s="1"/>
  <c r="R147" i="12"/>
  <c r="R145" i="12" s="1"/>
  <c r="Q147" i="12"/>
  <c r="N147" i="12"/>
  <c r="N145" i="12" s="1"/>
  <c r="M147" i="12"/>
  <c r="M145" i="12" s="1"/>
  <c r="P145" i="12" s="1"/>
  <c r="L147" i="12"/>
  <c r="L145" i="12" s="1"/>
  <c r="O145" i="12" s="1"/>
  <c r="U146" i="12"/>
  <c r="T146" i="12"/>
  <c r="P146" i="12"/>
  <c r="O146" i="12"/>
  <c r="S144" i="12"/>
  <c r="S142" i="12" s="1"/>
  <c r="R144" i="12"/>
  <c r="R142" i="12" s="1"/>
  <c r="Q144" i="12"/>
  <c r="Q142" i="12" s="1"/>
  <c r="N144" i="12"/>
  <c r="N142" i="12" s="1"/>
  <c r="M144" i="12"/>
  <c r="M142" i="12" s="1"/>
  <c r="L144" i="12"/>
  <c r="L142" i="12" s="1"/>
  <c r="U143" i="12"/>
  <c r="T143" i="12"/>
  <c r="P143" i="12"/>
  <c r="O143" i="12"/>
  <c r="S140" i="12"/>
  <c r="R140" i="12"/>
  <c r="U140" i="12" s="1"/>
  <c r="Q140" i="12"/>
  <c r="T140" i="12" s="1"/>
  <c r="N140" i="12"/>
  <c r="M140" i="12"/>
  <c r="P140" i="12" s="1"/>
  <c r="L140" i="12"/>
  <c r="O140" i="12" s="1"/>
  <c r="J138" i="12"/>
  <c r="J137" i="12"/>
  <c r="J136" i="12"/>
  <c r="I130" i="12"/>
  <c r="K130" i="12" s="1"/>
  <c r="I129" i="12"/>
  <c r="K129" i="12" s="1"/>
  <c r="I128" i="12"/>
  <c r="K128" i="12" s="1"/>
  <c r="I127" i="12"/>
  <c r="K127" i="12" s="1"/>
  <c r="S125" i="12"/>
  <c r="R125" i="12"/>
  <c r="R123" i="12" s="1"/>
  <c r="U123" i="12" s="1"/>
  <c r="Q125" i="12"/>
  <c r="Q123" i="12" s="1"/>
  <c r="T123" i="12" s="1"/>
  <c r="N125" i="12"/>
  <c r="N123" i="12" s="1"/>
  <c r="M125" i="12"/>
  <c r="M123" i="12" s="1"/>
  <c r="P123" i="12" s="1"/>
  <c r="L125" i="12"/>
  <c r="L123" i="12" s="1"/>
  <c r="O123" i="12" s="1"/>
  <c r="U124" i="12"/>
  <c r="T124" i="12"/>
  <c r="P124" i="12"/>
  <c r="O124" i="12"/>
  <c r="S122" i="12"/>
  <c r="S120" i="12" s="1"/>
  <c r="R122" i="12"/>
  <c r="Q122" i="12"/>
  <c r="Q120" i="12" s="1"/>
  <c r="N122" i="12"/>
  <c r="N120" i="12" s="1"/>
  <c r="M122" i="12"/>
  <c r="M120" i="12" s="1"/>
  <c r="P120" i="12" s="1"/>
  <c r="L122" i="12"/>
  <c r="L120" i="12" s="1"/>
  <c r="O120" i="12" s="1"/>
  <c r="U121" i="12"/>
  <c r="T121" i="12"/>
  <c r="P121" i="12"/>
  <c r="O121" i="12"/>
  <c r="S118" i="12"/>
  <c r="R118" i="12"/>
  <c r="Q118" i="12"/>
  <c r="T118" i="12" s="1"/>
  <c r="P118" i="12"/>
  <c r="N118" i="12"/>
  <c r="M118" i="12"/>
  <c r="L118" i="12"/>
  <c r="J116" i="12"/>
  <c r="I114" i="12"/>
  <c r="K114" i="12" s="1"/>
  <c r="I109" i="12"/>
  <c r="K109" i="12" s="1"/>
  <c r="I108" i="12"/>
  <c r="I92" i="12" s="1"/>
  <c r="K92" i="12" s="1"/>
  <c r="U102" i="12"/>
  <c r="T102" i="12"/>
  <c r="N102" i="12"/>
  <c r="M102" i="12"/>
  <c r="M100" i="12" s="1"/>
  <c r="P100" i="12" s="1"/>
  <c r="L102" i="12"/>
  <c r="L100" i="12" s="1"/>
  <c r="O100" i="12" s="1"/>
  <c r="U101" i="12"/>
  <c r="T101" i="12"/>
  <c r="P101" i="12"/>
  <c r="O101" i="12"/>
  <c r="U100" i="12"/>
  <c r="T100" i="12"/>
  <c r="S100" i="12"/>
  <c r="R100" i="12"/>
  <c r="Q100" i="12"/>
  <c r="S99" i="12"/>
  <c r="S97" i="12" s="1"/>
  <c r="R99" i="12"/>
  <c r="R97" i="12" s="1"/>
  <c r="U97" i="12" s="1"/>
  <c r="Q99" i="12"/>
  <c r="Q97" i="12" s="1"/>
  <c r="T97" i="12" s="1"/>
  <c r="N99" i="12"/>
  <c r="M99" i="12"/>
  <c r="M97" i="12" s="1"/>
  <c r="P97" i="12" s="1"/>
  <c r="L99" i="12"/>
  <c r="L97" i="12" s="1"/>
  <c r="O97" i="12" s="1"/>
  <c r="U98" i="12"/>
  <c r="T98" i="12"/>
  <c r="P98" i="12"/>
  <c r="O98" i="12"/>
  <c r="S95" i="12"/>
  <c r="R95" i="12"/>
  <c r="Q95" i="12"/>
  <c r="T95" i="12" s="1"/>
  <c r="P95" i="12"/>
  <c r="N95" i="12"/>
  <c r="M95" i="12"/>
  <c r="L95" i="12"/>
  <c r="J93" i="12"/>
  <c r="J92" i="12"/>
  <c r="I90" i="12"/>
  <c r="K90" i="12" s="1"/>
  <c r="I89" i="12"/>
  <c r="K89" i="12" s="1"/>
  <c r="I88" i="12"/>
  <c r="K88" i="12" s="1"/>
  <c r="I87" i="12"/>
  <c r="I86" i="12"/>
  <c r="K86" i="12" s="1"/>
  <c r="I85" i="12"/>
  <c r="K85" i="12" s="1"/>
  <c r="I84" i="12"/>
  <c r="K84" i="12" s="1"/>
  <c r="J83" i="12"/>
  <c r="J82" i="12"/>
  <c r="S80" i="12"/>
  <c r="S78" i="12" s="1"/>
  <c r="R80" i="12"/>
  <c r="R78" i="12" s="1"/>
  <c r="U78" i="12" s="1"/>
  <c r="Q80" i="12"/>
  <c r="T80" i="12" s="1"/>
  <c r="N80" i="12"/>
  <c r="N78" i="12" s="1"/>
  <c r="M80" i="12"/>
  <c r="M78" i="12" s="1"/>
  <c r="P78" i="12" s="1"/>
  <c r="L80" i="12"/>
  <c r="O80" i="12" s="1"/>
  <c r="U79" i="12"/>
  <c r="T79" i="12"/>
  <c r="P79" i="12"/>
  <c r="O79" i="12"/>
  <c r="S77" i="12"/>
  <c r="S75" i="12" s="1"/>
  <c r="R77" i="12"/>
  <c r="Q77" i="12"/>
  <c r="Q75" i="12" s="1"/>
  <c r="T75" i="12" s="1"/>
  <c r="N77" i="12"/>
  <c r="N75" i="12" s="1"/>
  <c r="M77" i="12"/>
  <c r="M75" i="12" s="1"/>
  <c r="P75" i="12" s="1"/>
  <c r="L77" i="12"/>
  <c r="L75" i="12" s="1"/>
  <c r="O75" i="12" s="1"/>
  <c r="U76" i="12"/>
  <c r="T76" i="12"/>
  <c r="P76" i="12"/>
  <c r="O76" i="12"/>
  <c r="T73" i="12"/>
  <c r="S73" i="12"/>
  <c r="R73" i="12"/>
  <c r="U73" i="12" s="1"/>
  <c r="Q73" i="12"/>
  <c r="N73" i="12"/>
  <c r="M73" i="12"/>
  <c r="P73" i="12" s="1"/>
  <c r="L73" i="12"/>
  <c r="O73" i="12" s="1"/>
  <c r="J71" i="12"/>
  <c r="J70" i="12"/>
  <c r="U67" i="12"/>
  <c r="T67" i="12"/>
  <c r="N67" i="12"/>
  <c r="M67" i="12"/>
  <c r="L67" i="12"/>
  <c r="L65" i="12" s="1"/>
  <c r="U66" i="12"/>
  <c r="T66" i="12"/>
  <c r="P66" i="12"/>
  <c r="O66" i="12"/>
  <c r="U65" i="12"/>
  <c r="T65" i="12"/>
  <c r="S65" i="12"/>
  <c r="R65" i="12"/>
  <c r="Q65" i="12"/>
  <c r="N65" i="12"/>
  <c r="U64" i="12"/>
  <c r="T64" i="12"/>
  <c r="N64" i="12"/>
  <c r="N62" i="12" s="1"/>
  <c r="M64" i="12"/>
  <c r="M62" i="12" s="1"/>
  <c r="L64" i="12"/>
  <c r="L62" i="12" s="1"/>
  <c r="U63" i="12"/>
  <c r="T63" i="12"/>
  <c r="P63" i="12"/>
  <c r="O63" i="12"/>
  <c r="S62" i="12"/>
  <c r="R62" i="12"/>
  <c r="U62" i="12" s="1"/>
  <c r="Q62" i="12"/>
  <c r="T62" i="12" s="1"/>
  <c r="U61" i="12"/>
  <c r="T61" i="12"/>
  <c r="S61" i="12"/>
  <c r="R61" i="12"/>
  <c r="Q61" i="12"/>
  <c r="T60" i="12"/>
  <c r="S60" i="12"/>
  <c r="S59" i="12" s="1"/>
  <c r="R60" i="12"/>
  <c r="U60" i="12" s="1"/>
  <c r="Q60" i="12"/>
  <c r="N60" i="12"/>
  <c r="M60" i="12"/>
  <c r="P60" i="12" s="1"/>
  <c r="L60" i="12"/>
  <c r="O60" i="12" s="1"/>
  <c r="R59" i="12"/>
  <c r="U59" i="12" s="1"/>
  <c r="Q59" i="12"/>
  <c r="T59" i="12" s="1"/>
  <c r="U52" i="12"/>
  <c r="T52" i="12"/>
  <c r="N52" i="12"/>
  <c r="N50" i="12" s="1"/>
  <c r="M52" i="12"/>
  <c r="L52" i="12"/>
  <c r="L50" i="12" s="1"/>
  <c r="O50" i="12" s="1"/>
  <c r="U51" i="12"/>
  <c r="T51" i="12"/>
  <c r="P51" i="12"/>
  <c r="O51" i="12"/>
  <c r="U50" i="12"/>
  <c r="T50" i="12"/>
  <c r="S50" i="12"/>
  <c r="R50" i="12"/>
  <c r="Q50" i="12"/>
  <c r="U49" i="12"/>
  <c r="T49" i="12"/>
  <c r="N49" i="12"/>
  <c r="N47" i="12" s="1"/>
  <c r="M49" i="12"/>
  <c r="M47" i="12" s="1"/>
  <c r="L49" i="12"/>
  <c r="L47" i="12" s="1"/>
  <c r="U48" i="12"/>
  <c r="T48" i="12"/>
  <c r="P48" i="12"/>
  <c r="O48" i="12"/>
  <c r="S47" i="12"/>
  <c r="R47" i="12"/>
  <c r="U47" i="12" s="1"/>
  <c r="Q47" i="12"/>
  <c r="T47" i="12" s="1"/>
  <c r="U46" i="12"/>
  <c r="T46" i="12"/>
  <c r="S46" i="12"/>
  <c r="R46" i="12"/>
  <c r="Q46" i="12"/>
  <c r="T45" i="12"/>
  <c r="S45" i="12"/>
  <c r="S44" i="12" s="1"/>
  <c r="R45" i="12"/>
  <c r="U45" i="12" s="1"/>
  <c r="Q45" i="12"/>
  <c r="N45" i="12"/>
  <c r="M45" i="12"/>
  <c r="P45" i="12" s="1"/>
  <c r="L45" i="12"/>
  <c r="O45" i="12" s="1"/>
  <c r="R44" i="12"/>
  <c r="U44" i="12" s="1"/>
  <c r="Q44" i="12"/>
  <c r="T44" i="12" s="1"/>
  <c r="S25" i="12"/>
  <c r="R25" i="12"/>
  <c r="U25" i="12" s="1"/>
  <c r="Q25" i="12"/>
  <c r="T25" i="12" s="1"/>
  <c r="N25" i="12"/>
  <c r="M25" i="12"/>
  <c r="L25" i="12"/>
  <c r="O25" i="12" s="1"/>
  <c r="S22" i="12"/>
  <c r="R22" i="12"/>
  <c r="R19" i="12" s="1"/>
  <c r="Q22" i="12"/>
  <c r="T22" i="12" s="1"/>
  <c r="N22" i="12"/>
  <c r="M22" i="12"/>
  <c r="M19" i="12" s="1"/>
  <c r="L22" i="12"/>
  <c r="S19" i="12"/>
  <c r="Q19" i="12"/>
  <c r="T19" i="12" s="1"/>
  <c r="N19" i="12"/>
  <c r="L19" i="12"/>
  <c r="A789" i="11"/>
  <c r="A788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H777" i="11"/>
  <c r="I776" i="11"/>
  <c r="I775" i="11"/>
  <c r="I774" i="11"/>
  <c r="I772" i="11"/>
  <c r="K772" i="11" s="1"/>
  <c r="I770" i="11"/>
  <c r="K770" i="11" s="1"/>
  <c r="U768" i="11"/>
  <c r="T768" i="11"/>
  <c r="P768" i="11"/>
  <c r="O768" i="11"/>
  <c r="U767" i="11"/>
  <c r="T767" i="11"/>
  <c r="P767" i="11"/>
  <c r="O767" i="11"/>
  <c r="U766" i="11"/>
  <c r="S766" i="11"/>
  <c r="R766" i="11"/>
  <c r="Q766" i="11"/>
  <c r="T766" i="11" s="1"/>
  <c r="P766" i="11"/>
  <c r="O766" i="11"/>
  <c r="N766" i="11"/>
  <c r="M766" i="11"/>
  <c r="L766" i="11"/>
  <c r="S765" i="11"/>
  <c r="S762" i="11" s="1"/>
  <c r="S760" i="11" s="1"/>
  <c r="R765" i="11"/>
  <c r="Q765" i="11"/>
  <c r="T765" i="11" s="1"/>
  <c r="P765" i="11"/>
  <c r="O765" i="11"/>
  <c r="U764" i="11"/>
  <c r="T764" i="11"/>
  <c r="P764" i="11"/>
  <c r="O764" i="11"/>
  <c r="N763" i="11"/>
  <c r="M763" i="11"/>
  <c r="P763" i="11" s="1"/>
  <c r="L763" i="11"/>
  <c r="O763" i="11" s="1"/>
  <c r="P762" i="11"/>
  <c r="N762" i="11"/>
  <c r="M762" i="11"/>
  <c r="L762" i="11"/>
  <c r="U761" i="11"/>
  <c r="T761" i="11"/>
  <c r="S761" i="11"/>
  <c r="R761" i="11"/>
  <c r="Q761" i="11"/>
  <c r="P761" i="11"/>
  <c r="O761" i="11"/>
  <c r="N761" i="11"/>
  <c r="M761" i="11"/>
  <c r="L761" i="11"/>
  <c r="N760" i="11"/>
  <c r="M760" i="11"/>
  <c r="P760" i="11" s="1"/>
  <c r="J759" i="11"/>
  <c r="J758" i="11"/>
  <c r="I755" i="11"/>
  <c r="K755" i="11" s="1"/>
  <c r="I752" i="11"/>
  <c r="K752" i="11" s="1"/>
  <c r="I749" i="11"/>
  <c r="K749" i="11" s="1"/>
  <c r="I746" i="11"/>
  <c r="K746" i="11" s="1"/>
  <c r="I744" i="11"/>
  <c r="K744" i="11" s="1"/>
  <c r="I742" i="11"/>
  <c r="K742" i="11" s="1"/>
  <c r="I740" i="11"/>
  <c r="K740" i="11" s="1"/>
  <c r="U736" i="11"/>
  <c r="T736" i="11"/>
  <c r="P736" i="11"/>
  <c r="O736" i="11"/>
  <c r="U735" i="11"/>
  <c r="T735" i="11"/>
  <c r="P735" i="11"/>
  <c r="O735" i="11"/>
  <c r="U734" i="11"/>
  <c r="T734" i="11"/>
  <c r="S734" i="11"/>
  <c r="R734" i="11"/>
  <c r="Q734" i="11"/>
  <c r="P734" i="11"/>
  <c r="O734" i="11"/>
  <c r="N734" i="11"/>
  <c r="M734" i="11"/>
  <c r="L734" i="11"/>
  <c r="S733" i="11"/>
  <c r="S730" i="11" s="1"/>
  <c r="S728" i="11" s="1"/>
  <c r="R733" i="11"/>
  <c r="R731" i="11" s="1"/>
  <c r="Q733" i="11"/>
  <c r="P733" i="11"/>
  <c r="O733" i="11"/>
  <c r="U732" i="11"/>
  <c r="T732" i="11"/>
  <c r="P732" i="11"/>
  <c r="O732" i="11"/>
  <c r="N731" i="11"/>
  <c r="M731" i="11"/>
  <c r="P731" i="11" s="1"/>
  <c r="L731" i="11"/>
  <c r="O731" i="11" s="1"/>
  <c r="P730" i="11"/>
  <c r="O730" i="11"/>
  <c r="N730" i="11"/>
  <c r="M730" i="11"/>
  <c r="L730" i="11"/>
  <c r="U729" i="11"/>
  <c r="T729" i="11"/>
  <c r="S729" i="11"/>
  <c r="R729" i="11"/>
  <c r="Q729" i="11"/>
  <c r="O729" i="11"/>
  <c r="N729" i="11"/>
  <c r="N728" i="11" s="1"/>
  <c r="M729" i="11"/>
  <c r="P729" i="11" s="1"/>
  <c r="L729" i="11"/>
  <c r="M728" i="11"/>
  <c r="P728" i="11" s="1"/>
  <c r="L728" i="11"/>
  <c r="O728" i="11" s="1"/>
  <c r="J727" i="11"/>
  <c r="I727" i="11"/>
  <c r="J726" i="11"/>
  <c r="I726" i="11"/>
  <c r="K726" i="11" s="1"/>
  <c r="U722" i="11"/>
  <c r="T722" i="11"/>
  <c r="P722" i="11"/>
  <c r="O722" i="11"/>
  <c r="U721" i="11"/>
  <c r="T721" i="11"/>
  <c r="P721" i="11"/>
  <c r="O721" i="11"/>
  <c r="S720" i="11"/>
  <c r="R720" i="11"/>
  <c r="U720" i="11" s="1"/>
  <c r="Q720" i="11"/>
  <c r="T720" i="11" s="1"/>
  <c r="N720" i="11"/>
  <c r="M720" i="11"/>
  <c r="P720" i="11" s="1"/>
  <c r="L720" i="11"/>
  <c r="O720" i="11" s="1"/>
  <c r="U719" i="11"/>
  <c r="T719" i="11"/>
  <c r="P719" i="11"/>
  <c r="O719" i="11"/>
  <c r="U718" i="11"/>
  <c r="T718" i="11"/>
  <c r="P718" i="11"/>
  <c r="O718" i="11"/>
  <c r="S717" i="11"/>
  <c r="R717" i="11"/>
  <c r="U717" i="11" s="1"/>
  <c r="Q717" i="11"/>
  <c r="T717" i="11" s="1"/>
  <c r="N717" i="11"/>
  <c r="M717" i="11"/>
  <c r="P717" i="11" s="1"/>
  <c r="L717" i="11"/>
  <c r="O717" i="11" s="1"/>
  <c r="U716" i="11"/>
  <c r="S716" i="11"/>
  <c r="R716" i="11"/>
  <c r="Q716" i="11"/>
  <c r="P716" i="11"/>
  <c r="O716" i="11"/>
  <c r="N716" i="11"/>
  <c r="M716" i="11"/>
  <c r="L716" i="11"/>
  <c r="U715" i="11"/>
  <c r="T715" i="11"/>
  <c r="S715" i="11"/>
  <c r="R715" i="11"/>
  <c r="Q715" i="11"/>
  <c r="O715" i="11"/>
  <c r="N715" i="11"/>
  <c r="N714" i="11" s="1"/>
  <c r="M715" i="11"/>
  <c r="P715" i="11" s="1"/>
  <c r="L715" i="11"/>
  <c r="S714" i="11"/>
  <c r="R714" i="11"/>
  <c r="U714" i="11" s="1"/>
  <c r="M714" i="11"/>
  <c r="P714" i="11" s="1"/>
  <c r="L714" i="11"/>
  <c r="O714" i="11" s="1"/>
  <c r="K712" i="11"/>
  <c r="J712" i="11"/>
  <c r="K710" i="11"/>
  <c r="J710" i="11"/>
  <c r="J709" i="11"/>
  <c r="I709" i="11"/>
  <c r="K708" i="11"/>
  <c r="J708" i="11"/>
  <c r="J707" i="11"/>
  <c r="I707" i="11"/>
  <c r="K706" i="11"/>
  <c r="J706" i="11"/>
  <c r="J705" i="11"/>
  <c r="I705" i="11"/>
  <c r="K704" i="11"/>
  <c r="J704" i="11"/>
  <c r="J703" i="11"/>
  <c r="I703" i="11"/>
  <c r="K702" i="11"/>
  <c r="I700" i="11"/>
  <c r="K700" i="11" s="1"/>
  <c r="U698" i="11"/>
  <c r="T698" i="11"/>
  <c r="P698" i="11"/>
  <c r="O698" i="11"/>
  <c r="U697" i="11"/>
  <c r="T697" i="11"/>
  <c r="P697" i="11"/>
  <c r="O697" i="11"/>
  <c r="S696" i="11"/>
  <c r="R696" i="11"/>
  <c r="U696" i="11" s="1"/>
  <c r="Q696" i="11"/>
  <c r="T696" i="11" s="1"/>
  <c r="P696" i="11"/>
  <c r="N696" i="11"/>
  <c r="M696" i="11"/>
  <c r="L696" i="11"/>
  <c r="O696" i="11" s="1"/>
  <c r="S695" i="11"/>
  <c r="S692" i="11" s="1"/>
  <c r="S690" i="11" s="1"/>
  <c r="R695" i="11"/>
  <c r="R693" i="11" s="1"/>
  <c r="Q695" i="11"/>
  <c r="Q693" i="11" s="1"/>
  <c r="P695" i="11"/>
  <c r="O695" i="11"/>
  <c r="U694" i="11"/>
  <c r="T694" i="11"/>
  <c r="P694" i="11"/>
  <c r="O694" i="11"/>
  <c r="O693" i="11"/>
  <c r="N693" i="11"/>
  <c r="M693" i="11"/>
  <c r="P693" i="11" s="1"/>
  <c r="L693" i="11"/>
  <c r="N692" i="11"/>
  <c r="M692" i="11"/>
  <c r="L692" i="11"/>
  <c r="U691" i="11"/>
  <c r="S691" i="11"/>
  <c r="R691" i="11"/>
  <c r="Q691" i="11"/>
  <c r="P691" i="11"/>
  <c r="O691" i="11"/>
  <c r="N691" i="11"/>
  <c r="M691" i="11"/>
  <c r="L691" i="11"/>
  <c r="N690" i="11"/>
  <c r="J682" i="11"/>
  <c r="I682" i="11"/>
  <c r="K682" i="11" s="1"/>
  <c r="J681" i="11"/>
  <c r="I681" i="11"/>
  <c r="K681" i="11" s="1"/>
  <c r="J680" i="11"/>
  <c r="J679" i="11"/>
  <c r="I679" i="11"/>
  <c r="K679" i="11" s="1"/>
  <c r="J678" i="11"/>
  <c r="I678" i="11"/>
  <c r="K678" i="11" s="1"/>
  <c r="J677" i="11"/>
  <c r="J676" i="11"/>
  <c r="I676" i="11"/>
  <c r="K676" i="11" s="1"/>
  <c r="I675" i="11"/>
  <c r="K675" i="11" s="1"/>
  <c r="I674" i="11"/>
  <c r="K674" i="11" s="1"/>
  <c r="J673" i="11"/>
  <c r="I673" i="11"/>
  <c r="K673" i="11" s="1"/>
  <c r="J672" i="11"/>
  <c r="J671" i="11"/>
  <c r="J661" i="11"/>
  <c r="I661" i="11"/>
  <c r="K661" i="11" s="1"/>
  <c r="I660" i="11"/>
  <c r="I657" i="11"/>
  <c r="J654" i="11"/>
  <c r="I654" i="11"/>
  <c r="K654" i="11" s="1"/>
  <c r="J653" i="11"/>
  <c r="I653" i="11"/>
  <c r="K653" i="11" s="1"/>
  <c r="J652" i="11"/>
  <c r="I652" i="11"/>
  <c r="K652" i="11" s="1"/>
  <c r="U650" i="11"/>
  <c r="T650" i="11"/>
  <c r="P650" i="11"/>
  <c r="O650" i="11"/>
  <c r="U649" i="11"/>
  <c r="T649" i="11"/>
  <c r="P649" i="11"/>
  <c r="O649" i="11"/>
  <c r="S648" i="11"/>
  <c r="R648" i="11"/>
  <c r="U648" i="11" s="1"/>
  <c r="Q648" i="11"/>
  <c r="T648" i="11" s="1"/>
  <c r="P648" i="11"/>
  <c r="N648" i="11"/>
  <c r="M648" i="11"/>
  <c r="L648" i="11"/>
  <c r="O648" i="11" s="1"/>
  <c r="S647" i="11"/>
  <c r="S645" i="11" s="1"/>
  <c r="R647" i="11"/>
  <c r="R645" i="11" s="1"/>
  <c r="U645" i="11" s="1"/>
  <c r="Q647" i="11"/>
  <c r="P647" i="11"/>
  <c r="O647" i="11"/>
  <c r="U646" i="11"/>
  <c r="T646" i="11"/>
  <c r="P646" i="11"/>
  <c r="O646" i="11"/>
  <c r="O645" i="11"/>
  <c r="N645" i="11"/>
  <c r="M645" i="11"/>
  <c r="P645" i="11" s="1"/>
  <c r="L645" i="11"/>
  <c r="N644" i="11"/>
  <c r="M644" i="11"/>
  <c r="L644" i="11"/>
  <c r="U643" i="11"/>
  <c r="S643" i="11"/>
  <c r="R643" i="11"/>
  <c r="Q643" i="11"/>
  <c r="P643" i="11"/>
  <c r="O643" i="11"/>
  <c r="N643" i="11"/>
  <c r="M643" i="11"/>
  <c r="L643" i="11"/>
  <c r="N642" i="11"/>
  <c r="J636" i="11"/>
  <c r="J635" i="11"/>
  <c r="I635" i="11"/>
  <c r="K635" i="11" s="1"/>
  <c r="J632" i="11"/>
  <c r="I628" i="11"/>
  <c r="K628" i="11" s="1"/>
  <c r="I627" i="11"/>
  <c r="K627" i="11" s="1"/>
  <c r="J626" i="11"/>
  <c r="I626" i="11"/>
  <c r="U624" i="11"/>
  <c r="T624" i="11"/>
  <c r="P624" i="11"/>
  <c r="O624" i="11"/>
  <c r="U623" i="11"/>
  <c r="T623" i="11"/>
  <c r="P623" i="11"/>
  <c r="O623" i="11"/>
  <c r="S622" i="11"/>
  <c r="R622" i="11"/>
  <c r="U622" i="11" s="1"/>
  <c r="Q622" i="11"/>
  <c r="T622" i="11" s="1"/>
  <c r="N622" i="11"/>
  <c r="M622" i="11"/>
  <c r="P622" i="11" s="1"/>
  <c r="L622" i="11"/>
  <c r="O622" i="11" s="1"/>
  <c r="S621" i="11"/>
  <c r="S618" i="11" s="1"/>
  <c r="S616" i="11" s="1"/>
  <c r="R621" i="11"/>
  <c r="R618" i="11" s="1"/>
  <c r="U618" i="11" s="1"/>
  <c r="Q621" i="11"/>
  <c r="P621" i="11"/>
  <c r="O621" i="11"/>
  <c r="U620" i="11"/>
  <c r="T620" i="11"/>
  <c r="P620" i="11"/>
  <c r="O620" i="11"/>
  <c r="P619" i="11"/>
  <c r="O619" i="11"/>
  <c r="N619" i="11"/>
  <c r="M619" i="11"/>
  <c r="L619" i="11"/>
  <c r="N618" i="11"/>
  <c r="N616" i="11" s="1"/>
  <c r="M618" i="11"/>
  <c r="L618" i="11"/>
  <c r="O618" i="11" s="1"/>
  <c r="S617" i="11"/>
  <c r="R617" i="11"/>
  <c r="Q617" i="11"/>
  <c r="P617" i="11"/>
  <c r="N617" i="11"/>
  <c r="M617" i="11"/>
  <c r="L617" i="11"/>
  <c r="J615" i="11"/>
  <c r="S607" i="11"/>
  <c r="R607" i="11"/>
  <c r="U607" i="11" s="1"/>
  <c r="Q607" i="11"/>
  <c r="N607" i="11"/>
  <c r="N605" i="11" s="1"/>
  <c r="M607" i="11"/>
  <c r="L607" i="11"/>
  <c r="O607" i="11" s="1"/>
  <c r="U606" i="11"/>
  <c r="T606" i="11"/>
  <c r="P606" i="11"/>
  <c r="O606" i="11"/>
  <c r="S604" i="11"/>
  <c r="S602" i="11" s="1"/>
  <c r="R604" i="11"/>
  <c r="Q604" i="11"/>
  <c r="N604" i="11"/>
  <c r="N602" i="11" s="1"/>
  <c r="M604" i="11"/>
  <c r="P604" i="11" s="1"/>
  <c r="L604" i="11"/>
  <c r="U603" i="11"/>
  <c r="T603" i="11"/>
  <c r="P603" i="11"/>
  <c r="O603" i="11"/>
  <c r="U600" i="11"/>
  <c r="T600" i="11"/>
  <c r="S600" i="11"/>
  <c r="R600" i="11"/>
  <c r="Q600" i="11"/>
  <c r="O600" i="11"/>
  <c r="N600" i="11"/>
  <c r="M600" i="11"/>
  <c r="P600" i="11" s="1"/>
  <c r="L600" i="11"/>
  <c r="U584" i="11"/>
  <c r="T584" i="11"/>
  <c r="N584" i="11"/>
  <c r="M584" i="11"/>
  <c r="L584" i="11"/>
  <c r="L582" i="11" s="1"/>
  <c r="O582" i="11" s="1"/>
  <c r="U583" i="11"/>
  <c r="T583" i="11"/>
  <c r="P583" i="11"/>
  <c r="O583" i="11"/>
  <c r="U582" i="11"/>
  <c r="T582" i="11"/>
  <c r="S582" i="11"/>
  <c r="R582" i="11"/>
  <c r="Q582" i="11"/>
  <c r="U581" i="11"/>
  <c r="T581" i="11"/>
  <c r="N581" i="11"/>
  <c r="N579" i="11" s="1"/>
  <c r="M581" i="11"/>
  <c r="M579" i="11" s="1"/>
  <c r="P579" i="11" s="1"/>
  <c r="L581" i="11"/>
  <c r="U580" i="11"/>
  <c r="T580" i="11"/>
  <c r="P580" i="11"/>
  <c r="O580" i="11"/>
  <c r="S579" i="11"/>
  <c r="R579" i="11"/>
  <c r="U579" i="11" s="1"/>
  <c r="Q579" i="11"/>
  <c r="T579" i="11" s="1"/>
  <c r="U578" i="11"/>
  <c r="S578" i="11"/>
  <c r="R578" i="11"/>
  <c r="Q578" i="11"/>
  <c r="U577" i="11"/>
  <c r="T577" i="11"/>
  <c r="S577" i="11"/>
  <c r="R577" i="11"/>
  <c r="Q577" i="11"/>
  <c r="O577" i="11"/>
  <c r="N577" i="11"/>
  <c r="M577" i="11"/>
  <c r="P577" i="11" s="1"/>
  <c r="L577" i="11"/>
  <c r="S576" i="11"/>
  <c r="R576" i="11"/>
  <c r="U576" i="11" s="1"/>
  <c r="K575" i="11"/>
  <c r="J575" i="11"/>
  <c r="I575" i="11"/>
  <c r="U563" i="11"/>
  <c r="T563" i="11"/>
  <c r="N563" i="11"/>
  <c r="N561" i="11" s="1"/>
  <c r="M563" i="11"/>
  <c r="P563" i="11" s="1"/>
  <c r="L563" i="11"/>
  <c r="L561" i="11" s="1"/>
  <c r="O561" i="11" s="1"/>
  <c r="U562" i="11"/>
  <c r="T562" i="11"/>
  <c r="P562" i="11"/>
  <c r="O562" i="11"/>
  <c r="S561" i="11"/>
  <c r="R561" i="11"/>
  <c r="U561" i="11" s="1"/>
  <c r="Q561" i="11"/>
  <c r="T561" i="11" s="1"/>
  <c r="U560" i="11"/>
  <c r="T560" i="11"/>
  <c r="N560" i="11"/>
  <c r="N558" i="11" s="1"/>
  <c r="M560" i="11"/>
  <c r="L560" i="11"/>
  <c r="L558" i="11" s="1"/>
  <c r="O558" i="11" s="1"/>
  <c r="U559" i="11"/>
  <c r="T559" i="11"/>
  <c r="P559" i="11"/>
  <c r="O559" i="11"/>
  <c r="U558" i="11"/>
  <c r="T558" i="11"/>
  <c r="S558" i="11"/>
  <c r="R558" i="11"/>
  <c r="Q558" i="11"/>
  <c r="T557" i="11"/>
  <c r="S557" i="11"/>
  <c r="S555" i="11" s="1"/>
  <c r="R557" i="11"/>
  <c r="U557" i="11" s="1"/>
  <c r="Q557" i="11"/>
  <c r="S556" i="11"/>
  <c r="R556" i="11"/>
  <c r="Q556" i="11"/>
  <c r="P556" i="11"/>
  <c r="N556" i="11"/>
  <c r="M556" i="11"/>
  <c r="L556" i="11"/>
  <c r="J554" i="11"/>
  <c r="I554" i="11"/>
  <c r="K554" i="11" s="1"/>
  <c r="U542" i="11"/>
  <c r="T542" i="11"/>
  <c r="N542" i="11"/>
  <c r="N540" i="11" s="1"/>
  <c r="M542" i="11"/>
  <c r="L542" i="11"/>
  <c r="U541" i="11"/>
  <c r="T541" i="11"/>
  <c r="P541" i="11"/>
  <c r="O541" i="11"/>
  <c r="U540" i="11"/>
  <c r="T540" i="11"/>
  <c r="S540" i="11"/>
  <c r="R540" i="11"/>
  <c r="Q540" i="11"/>
  <c r="U539" i="11"/>
  <c r="T539" i="11"/>
  <c r="N539" i="11"/>
  <c r="N537" i="11" s="1"/>
  <c r="M539" i="11"/>
  <c r="M537" i="11" s="1"/>
  <c r="P537" i="11" s="1"/>
  <c r="L539" i="11"/>
  <c r="O539" i="11" s="1"/>
  <c r="U538" i="11"/>
  <c r="T538" i="11"/>
  <c r="P538" i="11"/>
  <c r="O538" i="11"/>
  <c r="S537" i="11"/>
  <c r="R537" i="11"/>
  <c r="U537" i="11" s="1"/>
  <c r="Q537" i="11"/>
  <c r="T537" i="11" s="1"/>
  <c r="U536" i="11"/>
  <c r="T536" i="11"/>
  <c r="S536" i="11"/>
  <c r="R536" i="11"/>
  <c r="Q536" i="11"/>
  <c r="U535" i="11"/>
  <c r="S535" i="11"/>
  <c r="S534" i="11" s="1"/>
  <c r="R535" i="11"/>
  <c r="Q535" i="11"/>
  <c r="T535" i="11" s="1"/>
  <c r="N535" i="11"/>
  <c r="M535" i="11"/>
  <c r="P535" i="11" s="1"/>
  <c r="L535" i="11"/>
  <c r="R534" i="11"/>
  <c r="U534" i="11" s="1"/>
  <c r="Q534" i="11"/>
  <c r="T534" i="11" s="1"/>
  <c r="K533" i="11"/>
  <c r="J533" i="11"/>
  <c r="I533" i="11"/>
  <c r="K524" i="11"/>
  <c r="K523" i="11"/>
  <c r="U521" i="11"/>
  <c r="T521" i="11"/>
  <c r="N521" i="11"/>
  <c r="N519" i="11" s="1"/>
  <c r="M521" i="11"/>
  <c r="P521" i="11" s="1"/>
  <c r="L521" i="11"/>
  <c r="O521" i="11" s="1"/>
  <c r="U520" i="11"/>
  <c r="T520" i="11"/>
  <c r="P520" i="11"/>
  <c r="O520" i="11"/>
  <c r="T519" i="11"/>
  <c r="S519" i="11"/>
  <c r="R519" i="11"/>
  <c r="U519" i="11" s="1"/>
  <c r="Q519" i="11"/>
  <c r="U518" i="11"/>
  <c r="T518" i="11"/>
  <c r="N518" i="11"/>
  <c r="M518" i="11"/>
  <c r="M516" i="11" s="1"/>
  <c r="P516" i="11" s="1"/>
  <c r="L518" i="11"/>
  <c r="O518" i="11" s="1"/>
  <c r="U517" i="11"/>
  <c r="T517" i="11"/>
  <c r="P517" i="11"/>
  <c r="O517" i="11"/>
  <c r="T516" i="11"/>
  <c r="S516" i="11"/>
  <c r="R516" i="11"/>
  <c r="U516" i="11" s="1"/>
  <c r="Q516" i="11"/>
  <c r="U515" i="11"/>
  <c r="T515" i="11"/>
  <c r="S515" i="11"/>
  <c r="R515" i="11"/>
  <c r="Q515" i="11"/>
  <c r="T514" i="11"/>
  <c r="S514" i="11"/>
  <c r="R514" i="11"/>
  <c r="Q514" i="11"/>
  <c r="N514" i="11"/>
  <c r="M514" i="11"/>
  <c r="L514" i="11"/>
  <c r="O514" i="11" s="1"/>
  <c r="Q513" i="11"/>
  <c r="T513" i="11" s="1"/>
  <c r="J512" i="11"/>
  <c r="I512" i="11"/>
  <c r="K512" i="11" s="1"/>
  <c r="I509" i="11"/>
  <c r="K509" i="11" s="1"/>
  <c r="K508" i="11"/>
  <c r="I507" i="11"/>
  <c r="K507" i="11" s="1"/>
  <c r="I506" i="11"/>
  <c r="K506" i="11" s="1"/>
  <c r="I505" i="11"/>
  <c r="I504" i="11"/>
  <c r="K504" i="11" s="1"/>
  <c r="I503" i="11"/>
  <c r="K503" i="11" s="1"/>
  <c r="U501" i="11"/>
  <c r="T501" i="11"/>
  <c r="N501" i="11"/>
  <c r="N499" i="11" s="1"/>
  <c r="M501" i="11"/>
  <c r="M499" i="11" s="1"/>
  <c r="P499" i="11" s="1"/>
  <c r="L501" i="11"/>
  <c r="O501" i="11" s="1"/>
  <c r="U500" i="11"/>
  <c r="T500" i="11"/>
  <c r="P500" i="11"/>
  <c r="O500" i="11"/>
  <c r="S499" i="11"/>
  <c r="R499" i="11"/>
  <c r="U499" i="11" s="1"/>
  <c r="Q499" i="11"/>
  <c r="T499" i="11" s="1"/>
  <c r="S498" i="11"/>
  <c r="S495" i="11" s="1"/>
  <c r="S493" i="11" s="1"/>
  <c r="R498" i="11"/>
  <c r="U498" i="11" s="1"/>
  <c r="Q498" i="11"/>
  <c r="N498" i="11"/>
  <c r="M498" i="11"/>
  <c r="L498" i="11"/>
  <c r="O498" i="11" s="1"/>
  <c r="U497" i="11"/>
  <c r="T497" i="11"/>
  <c r="P497" i="11"/>
  <c r="O497" i="11"/>
  <c r="T494" i="11"/>
  <c r="S494" i="11"/>
  <c r="R494" i="11"/>
  <c r="Q494" i="11"/>
  <c r="P494" i="11"/>
  <c r="N494" i="11"/>
  <c r="M494" i="11"/>
  <c r="L494" i="11"/>
  <c r="K485" i="11"/>
  <c r="J485" i="11"/>
  <c r="I485" i="11"/>
  <c r="K484" i="11"/>
  <c r="J484" i="11"/>
  <c r="I484" i="11"/>
  <c r="J483" i="11"/>
  <c r="J482" i="11"/>
  <c r="K477" i="11"/>
  <c r="J477" i="11"/>
  <c r="K476" i="11"/>
  <c r="J476" i="11"/>
  <c r="K475" i="11"/>
  <c r="J475" i="11"/>
  <c r="J468" i="11"/>
  <c r="J467" i="11"/>
  <c r="J460" i="11"/>
  <c r="J458" i="11" s="1"/>
  <c r="J459" i="11"/>
  <c r="I458" i="11"/>
  <c r="J457" i="11"/>
  <c r="J456" i="11" s="1"/>
  <c r="I457" i="11"/>
  <c r="I456" i="11" s="1"/>
  <c r="K456" i="11" s="1"/>
  <c r="J447" i="11"/>
  <c r="J441" i="11" s="1"/>
  <c r="J446" i="11"/>
  <c r="J440" i="11" s="1"/>
  <c r="J423" i="11" s="1"/>
  <c r="J412" i="11" s="1"/>
  <c r="I441" i="11"/>
  <c r="K441" i="11" s="1"/>
  <c r="I440" i="11"/>
  <c r="J433" i="11"/>
  <c r="I433" i="11"/>
  <c r="K433" i="11" s="1"/>
  <c r="J432" i="11"/>
  <c r="I432" i="11"/>
  <c r="K432" i="11" s="1"/>
  <c r="J425" i="11"/>
  <c r="I425" i="11"/>
  <c r="K425" i="11" s="1"/>
  <c r="J424" i="11"/>
  <c r="I424" i="11"/>
  <c r="K424" i="11" s="1"/>
  <c r="U421" i="11"/>
  <c r="T421" i="11"/>
  <c r="N421" i="11"/>
  <c r="N419" i="11" s="1"/>
  <c r="M421" i="11"/>
  <c r="L421" i="11"/>
  <c r="O421" i="11" s="1"/>
  <c r="U420" i="11"/>
  <c r="T420" i="11"/>
  <c r="P420" i="11"/>
  <c r="O420" i="11"/>
  <c r="T419" i="11"/>
  <c r="S419" i="11"/>
  <c r="R419" i="11"/>
  <c r="U419" i="11" s="1"/>
  <c r="Q419" i="11"/>
  <c r="S418" i="11"/>
  <c r="S415" i="11" s="1"/>
  <c r="R418" i="11"/>
  <c r="R416" i="11" s="1"/>
  <c r="Q418" i="11"/>
  <c r="Q415" i="11" s="1"/>
  <c r="N418" i="11"/>
  <c r="N416" i="11" s="1"/>
  <c r="M418" i="11"/>
  <c r="M416" i="11" s="1"/>
  <c r="L418" i="11"/>
  <c r="U417" i="11"/>
  <c r="T417" i="11"/>
  <c r="P417" i="11"/>
  <c r="O417" i="11"/>
  <c r="T414" i="11"/>
  <c r="S414" i="11"/>
  <c r="R414" i="11"/>
  <c r="U414" i="11" s="1"/>
  <c r="Q414" i="11"/>
  <c r="P414" i="11"/>
  <c r="N414" i="11"/>
  <c r="M414" i="11"/>
  <c r="L414" i="11"/>
  <c r="O414" i="11" s="1"/>
  <c r="U400" i="11"/>
  <c r="T400" i="11"/>
  <c r="P400" i="11"/>
  <c r="O400" i="11"/>
  <c r="U399" i="11"/>
  <c r="T399" i="11"/>
  <c r="P399" i="11"/>
  <c r="O399" i="11"/>
  <c r="U398" i="11"/>
  <c r="S398" i="11"/>
  <c r="R398" i="11"/>
  <c r="Q398" i="11"/>
  <c r="T398" i="11" s="1"/>
  <c r="O398" i="11"/>
  <c r="N398" i="11"/>
  <c r="M398" i="11"/>
  <c r="P398" i="11" s="1"/>
  <c r="L398" i="11"/>
  <c r="S397" i="11"/>
  <c r="R397" i="11"/>
  <c r="Q397" i="11"/>
  <c r="Q395" i="11" s="1"/>
  <c r="T395" i="11" s="1"/>
  <c r="P397" i="11"/>
  <c r="O397" i="11"/>
  <c r="U396" i="11"/>
  <c r="T396" i="11"/>
  <c r="P396" i="11"/>
  <c r="O396" i="11"/>
  <c r="P395" i="11"/>
  <c r="N395" i="11"/>
  <c r="M395" i="11"/>
  <c r="L395" i="11"/>
  <c r="O395" i="11" s="1"/>
  <c r="P394" i="11"/>
  <c r="N394" i="11"/>
  <c r="M394" i="11"/>
  <c r="L394" i="11"/>
  <c r="O394" i="11" s="1"/>
  <c r="T393" i="11"/>
  <c r="S393" i="11"/>
  <c r="R393" i="11"/>
  <c r="U393" i="11" s="1"/>
  <c r="Q393" i="11"/>
  <c r="P393" i="11"/>
  <c r="N393" i="11"/>
  <c r="N392" i="11" s="1"/>
  <c r="M393" i="11"/>
  <c r="M392" i="11" s="1"/>
  <c r="P392" i="11" s="1"/>
  <c r="L393" i="11"/>
  <c r="O393" i="11" s="1"/>
  <c r="L392" i="11"/>
  <c r="O392" i="11" s="1"/>
  <c r="J391" i="11"/>
  <c r="I391" i="11"/>
  <c r="K391" i="11" s="1"/>
  <c r="J388" i="11"/>
  <c r="I388" i="11"/>
  <c r="K387" i="11"/>
  <c r="J387" i="11"/>
  <c r="J386" i="11"/>
  <c r="I386" i="11"/>
  <c r="K385" i="11"/>
  <c r="J385" i="11"/>
  <c r="U383" i="11"/>
  <c r="T383" i="11"/>
  <c r="N383" i="11"/>
  <c r="N381" i="11" s="1"/>
  <c r="M383" i="11"/>
  <c r="P383" i="11" s="1"/>
  <c r="L383" i="11"/>
  <c r="O383" i="11" s="1"/>
  <c r="U382" i="11"/>
  <c r="T382" i="11"/>
  <c r="P382" i="11"/>
  <c r="O382" i="11"/>
  <c r="T381" i="11"/>
  <c r="S381" i="11"/>
  <c r="R381" i="11"/>
  <c r="U381" i="11" s="1"/>
  <c r="Q381" i="11"/>
  <c r="S380" i="11"/>
  <c r="S377" i="11" s="1"/>
  <c r="S375" i="11" s="1"/>
  <c r="R380" i="11"/>
  <c r="Q380" i="11"/>
  <c r="Q378" i="11" s="1"/>
  <c r="N380" i="11"/>
  <c r="N378" i="11" s="1"/>
  <c r="M380" i="11"/>
  <c r="M378" i="11" s="1"/>
  <c r="P378" i="11" s="1"/>
  <c r="L380" i="11"/>
  <c r="O380" i="11" s="1"/>
  <c r="U379" i="11"/>
  <c r="T379" i="11"/>
  <c r="P379" i="11"/>
  <c r="O379" i="11"/>
  <c r="T376" i="11"/>
  <c r="S376" i="11"/>
  <c r="R376" i="11"/>
  <c r="Q376" i="11"/>
  <c r="P376" i="11"/>
  <c r="N376" i="11"/>
  <c r="M376" i="11"/>
  <c r="L376" i="11"/>
  <c r="D373" i="11"/>
  <c r="K372" i="11"/>
  <c r="J372" i="11"/>
  <c r="J371" i="11"/>
  <c r="J365" i="11" s="1"/>
  <c r="I371" i="11"/>
  <c r="I365" i="11" s="1"/>
  <c r="K370" i="11"/>
  <c r="J370" i="11"/>
  <c r="J369" i="11"/>
  <c r="I369" i="11"/>
  <c r="J368" i="11"/>
  <c r="I368" i="11"/>
  <c r="K367" i="11"/>
  <c r="J367" i="11"/>
  <c r="U364" i="11"/>
  <c r="T364" i="11"/>
  <c r="N364" i="11"/>
  <c r="N362" i="11" s="1"/>
  <c r="M364" i="11"/>
  <c r="L364" i="11"/>
  <c r="L362" i="11" s="1"/>
  <c r="O362" i="11" s="1"/>
  <c r="U363" i="11"/>
  <c r="T363" i="11"/>
  <c r="P363" i="11"/>
  <c r="O363" i="11"/>
  <c r="U362" i="11"/>
  <c r="S362" i="11"/>
  <c r="R362" i="11"/>
  <c r="Q362" i="11"/>
  <c r="T362" i="11" s="1"/>
  <c r="U361" i="11"/>
  <c r="T361" i="11"/>
  <c r="N361" i="11"/>
  <c r="M361" i="11"/>
  <c r="M359" i="11" s="1"/>
  <c r="L361" i="11"/>
  <c r="U360" i="11"/>
  <c r="T360" i="11"/>
  <c r="P360" i="11"/>
  <c r="O360" i="11"/>
  <c r="T359" i="11"/>
  <c r="S359" i="11"/>
  <c r="R359" i="11"/>
  <c r="U359" i="11" s="1"/>
  <c r="Q359" i="11"/>
  <c r="T358" i="11"/>
  <c r="S358" i="11"/>
  <c r="R358" i="11"/>
  <c r="U358" i="11" s="1"/>
  <c r="Q358" i="11"/>
  <c r="T357" i="11"/>
  <c r="S357" i="11"/>
  <c r="S356" i="11" s="1"/>
  <c r="R357" i="11"/>
  <c r="U357" i="11" s="1"/>
  <c r="Q357" i="11"/>
  <c r="P357" i="11"/>
  <c r="N357" i="11"/>
  <c r="M357" i="11"/>
  <c r="L357" i="11"/>
  <c r="O357" i="11" s="1"/>
  <c r="T356" i="11"/>
  <c r="Q356" i="11"/>
  <c r="J354" i="11"/>
  <c r="J353" i="11"/>
  <c r="J352" i="11"/>
  <c r="D350" i="11"/>
  <c r="J349" i="11"/>
  <c r="J348" i="11"/>
  <c r="J347" i="11"/>
  <c r="J346" i="11"/>
  <c r="I346" i="11"/>
  <c r="K344" i="11"/>
  <c r="J344" i="11"/>
  <c r="U341" i="11"/>
  <c r="T341" i="11"/>
  <c r="N341" i="11"/>
  <c r="N339" i="11" s="1"/>
  <c r="M341" i="11"/>
  <c r="L341" i="11"/>
  <c r="O341" i="11" s="1"/>
  <c r="U340" i="11"/>
  <c r="T340" i="11"/>
  <c r="P340" i="11"/>
  <c r="O340" i="11"/>
  <c r="U339" i="11"/>
  <c r="S339" i="11"/>
  <c r="R339" i="11"/>
  <c r="Q339" i="11"/>
  <c r="T339" i="11" s="1"/>
  <c r="U338" i="11"/>
  <c r="T338" i="11"/>
  <c r="N338" i="11"/>
  <c r="M338" i="11"/>
  <c r="M336" i="11" s="1"/>
  <c r="L338" i="11"/>
  <c r="U337" i="11"/>
  <c r="T337" i="11"/>
  <c r="P337" i="11"/>
  <c r="O337" i="11"/>
  <c r="T336" i="11"/>
  <c r="S336" i="11"/>
  <c r="R336" i="11"/>
  <c r="U336" i="11" s="1"/>
  <c r="Q336" i="11"/>
  <c r="T335" i="11"/>
  <c r="S335" i="11"/>
  <c r="R335" i="11"/>
  <c r="U335" i="11" s="1"/>
  <c r="Q335" i="11"/>
  <c r="T334" i="11"/>
  <c r="S334" i="11"/>
  <c r="R334" i="11"/>
  <c r="Q334" i="11"/>
  <c r="Q333" i="11" s="1"/>
  <c r="T333" i="11" s="1"/>
  <c r="P334" i="11"/>
  <c r="N334" i="11"/>
  <c r="M334" i="11"/>
  <c r="L334" i="11"/>
  <c r="S333" i="11"/>
  <c r="I332" i="11"/>
  <c r="I330" i="11"/>
  <c r="I319" i="11" s="1"/>
  <c r="K319" i="11" s="1"/>
  <c r="U328" i="11"/>
  <c r="T328" i="11"/>
  <c r="N328" i="11"/>
  <c r="M328" i="11"/>
  <c r="M326" i="11" s="1"/>
  <c r="P326" i="11" s="1"/>
  <c r="L328" i="11"/>
  <c r="U327" i="11"/>
  <c r="T327" i="11"/>
  <c r="P327" i="11"/>
  <c r="O327" i="11"/>
  <c r="T326" i="11"/>
  <c r="S326" i="11"/>
  <c r="R326" i="11"/>
  <c r="U326" i="11" s="1"/>
  <c r="Q326" i="11"/>
  <c r="U325" i="11"/>
  <c r="T325" i="11"/>
  <c r="N325" i="11"/>
  <c r="N323" i="11" s="1"/>
  <c r="M325" i="11"/>
  <c r="L325" i="11"/>
  <c r="O325" i="11" s="1"/>
  <c r="U324" i="11"/>
  <c r="T324" i="11"/>
  <c r="P324" i="11"/>
  <c r="O324" i="11"/>
  <c r="U323" i="11"/>
  <c r="S323" i="11"/>
  <c r="R323" i="11"/>
  <c r="Q323" i="11"/>
  <c r="T323" i="11" s="1"/>
  <c r="U322" i="11"/>
  <c r="S322" i="11"/>
  <c r="R322" i="11"/>
  <c r="Q322" i="11"/>
  <c r="T322" i="11" s="1"/>
  <c r="U321" i="11"/>
  <c r="S321" i="11"/>
  <c r="S320" i="11" s="1"/>
  <c r="R321" i="11"/>
  <c r="Q321" i="11"/>
  <c r="P321" i="11"/>
  <c r="O321" i="11"/>
  <c r="N321" i="11"/>
  <c r="M321" i="11"/>
  <c r="L321" i="11"/>
  <c r="U320" i="11"/>
  <c r="R320" i="11"/>
  <c r="J319" i="11"/>
  <c r="I314" i="11"/>
  <c r="U311" i="11"/>
  <c r="T311" i="11"/>
  <c r="N311" i="11"/>
  <c r="M311" i="11"/>
  <c r="M309" i="11" s="1"/>
  <c r="P309" i="11" s="1"/>
  <c r="L311" i="11"/>
  <c r="U310" i="11"/>
  <c r="T310" i="11"/>
  <c r="P310" i="11"/>
  <c r="O310" i="11"/>
  <c r="U309" i="11"/>
  <c r="S309" i="11"/>
  <c r="R309" i="11"/>
  <c r="Q309" i="11"/>
  <c r="T309" i="11" s="1"/>
  <c r="S308" i="11"/>
  <c r="S306" i="11" s="1"/>
  <c r="R308" i="11"/>
  <c r="Q308" i="11"/>
  <c r="Q305" i="11" s="1"/>
  <c r="Q303" i="11" s="1"/>
  <c r="N308" i="11"/>
  <c r="N306" i="11" s="1"/>
  <c r="M308" i="11"/>
  <c r="M306" i="11" s="1"/>
  <c r="P306" i="11" s="1"/>
  <c r="L308" i="11"/>
  <c r="L306" i="11" s="1"/>
  <c r="O306" i="11" s="1"/>
  <c r="U307" i="11"/>
  <c r="T307" i="11"/>
  <c r="P307" i="11"/>
  <c r="O307" i="11"/>
  <c r="S304" i="11"/>
  <c r="R304" i="11"/>
  <c r="U304" i="11" s="1"/>
  <c r="Q304" i="11"/>
  <c r="T304" i="11" s="1"/>
  <c r="N304" i="11"/>
  <c r="M304" i="11"/>
  <c r="L304" i="11"/>
  <c r="O304" i="11" s="1"/>
  <c r="J302" i="11"/>
  <c r="I296" i="11"/>
  <c r="K296" i="11" s="1"/>
  <c r="I295" i="11"/>
  <c r="K295" i="11" s="1"/>
  <c r="J293" i="11"/>
  <c r="J280" i="11" s="1"/>
  <c r="I293" i="11"/>
  <c r="I292" i="11"/>
  <c r="U290" i="11"/>
  <c r="T290" i="11"/>
  <c r="N290" i="11"/>
  <c r="N288" i="11" s="1"/>
  <c r="M290" i="11"/>
  <c r="P290" i="11" s="1"/>
  <c r="L290" i="11"/>
  <c r="U289" i="11"/>
  <c r="T289" i="11"/>
  <c r="P289" i="11"/>
  <c r="O289" i="11"/>
  <c r="T288" i="11"/>
  <c r="S288" i="11"/>
  <c r="R288" i="11"/>
  <c r="U288" i="11" s="1"/>
  <c r="Q288" i="11"/>
  <c r="U287" i="11"/>
  <c r="T287" i="11"/>
  <c r="N287" i="11"/>
  <c r="N285" i="11" s="1"/>
  <c r="M287" i="11"/>
  <c r="M285" i="11" s="1"/>
  <c r="P285" i="11" s="1"/>
  <c r="L287" i="11"/>
  <c r="L285" i="11" s="1"/>
  <c r="O285" i="11" s="1"/>
  <c r="U286" i="11"/>
  <c r="T286" i="11"/>
  <c r="P286" i="11"/>
  <c r="O286" i="11"/>
  <c r="U285" i="11"/>
  <c r="S285" i="11"/>
  <c r="R285" i="11"/>
  <c r="Q285" i="11"/>
  <c r="T285" i="11" s="1"/>
  <c r="U284" i="11"/>
  <c r="T284" i="11"/>
  <c r="S284" i="11"/>
  <c r="R284" i="11"/>
  <c r="Q284" i="11"/>
  <c r="S283" i="11"/>
  <c r="S282" i="11" s="1"/>
  <c r="R283" i="11"/>
  <c r="U283" i="11" s="1"/>
  <c r="Q283" i="11"/>
  <c r="T283" i="11" s="1"/>
  <c r="N283" i="11"/>
  <c r="M283" i="11"/>
  <c r="L283" i="11"/>
  <c r="O283" i="11" s="1"/>
  <c r="Q282" i="11"/>
  <c r="T282" i="11" s="1"/>
  <c r="J281" i="11"/>
  <c r="I276" i="11"/>
  <c r="I265" i="11" s="1"/>
  <c r="K265" i="11" s="1"/>
  <c r="U274" i="11"/>
  <c r="T274" i="11"/>
  <c r="N274" i="11"/>
  <c r="N272" i="11" s="1"/>
  <c r="M274" i="11"/>
  <c r="M272" i="11" s="1"/>
  <c r="P272" i="11" s="1"/>
  <c r="L274" i="11"/>
  <c r="L272" i="11" s="1"/>
  <c r="O272" i="11" s="1"/>
  <c r="U273" i="11"/>
  <c r="T273" i="11"/>
  <c r="P273" i="11"/>
  <c r="O273" i="11"/>
  <c r="U272" i="11"/>
  <c r="S272" i="11"/>
  <c r="R272" i="11"/>
  <c r="Q272" i="11"/>
  <c r="T272" i="11" s="1"/>
  <c r="S271" i="11"/>
  <c r="R271" i="11"/>
  <c r="Q271" i="11"/>
  <c r="Q268" i="11" s="1"/>
  <c r="Q266" i="11" s="1"/>
  <c r="N271" i="11"/>
  <c r="N269" i="11" s="1"/>
  <c r="M271" i="11"/>
  <c r="M269" i="11" s="1"/>
  <c r="L271" i="11"/>
  <c r="U270" i="11"/>
  <c r="T270" i="11"/>
  <c r="P270" i="11"/>
  <c r="O270" i="11"/>
  <c r="S267" i="11"/>
  <c r="R267" i="11"/>
  <c r="Q267" i="11"/>
  <c r="T267" i="11" s="1"/>
  <c r="N267" i="11"/>
  <c r="M267" i="11"/>
  <c r="L267" i="11"/>
  <c r="J265" i="11"/>
  <c r="K263" i="11"/>
  <c r="K262" i="11"/>
  <c r="I260" i="11"/>
  <c r="L258" i="11"/>
  <c r="L257" i="11"/>
  <c r="L256" i="11"/>
  <c r="L255" i="11"/>
  <c r="P254" i="11"/>
  <c r="N254" i="11"/>
  <c r="N232" i="11" s="1"/>
  <c r="J253" i="11"/>
  <c r="K252" i="11"/>
  <c r="K251" i="11"/>
  <c r="I249" i="11"/>
  <c r="I242" i="11" s="1"/>
  <c r="K242" i="11" s="1"/>
  <c r="L247" i="11"/>
  <c r="L246" i="11"/>
  <c r="L245" i="11"/>
  <c r="L244" i="11"/>
  <c r="P243" i="11"/>
  <c r="N243" i="11"/>
  <c r="J242" i="11"/>
  <c r="J231" i="11" s="1"/>
  <c r="K241" i="11"/>
  <c r="J241" i="11"/>
  <c r="I241" i="11"/>
  <c r="K240" i="11"/>
  <c r="J240" i="11"/>
  <c r="I240" i="11"/>
  <c r="J238" i="11"/>
  <c r="N236" i="11"/>
  <c r="N235" i="11"/>
  <c r="N234" i="11"/>
  <c r="N233" i="11"/>
  <c r="I230" i="11"/>
  <c r="K230" i="11" s="1"/>
  <c r="I229" i="11"/>
  <c r="K229" i="11" s="1"/>
  <c r="I228" i="11"/>
  <c r="K228" i="11" s="1"/>
  <c r="L225" i="11"/>
  <c r="L224" i="11"/>
  <c r="L223" i="11"/>
  <c r="P222" i="11"/>
  <c r="N222" i="11"/>
  <c r="J221" i="11"/>
  <c r="I220" i="11"/>
  <c r="I219" i="11"/>
  <c r="K219" i="11" s="1"/>
  <c r="Q217" i="11"/>
  <c r="Q214" i="11" s="1"/>
  <c r="T214" i="11" s="1"/>
  <c r="L217" i="11"/>
  <c r="L216" i="11"/>
  <c r="L215" i="11"/>
  <c r="U214" i="11"/>
  <c r="S214" i="11"/>
  <c r="P214" i="11"/>
  <c r="N214" i="11"/>
  <c r="J213" i="11"/>
  <c r="I212" i="11"/>
  <c r="K212" i="11" s="1"/>
  <c r="I211" i="11"/>
  <c r="K211" i="11" s="1"/>
  <c r="I209" i="11"/>
  <c r="I202" i="11" s="1"/>
  <c r="K202" i="11" s="1"/>
  <c r="L207" i="11"/>
  <c r="Q206" i="11"/>
  <c r="Q203" i="11" s="1"/>
  <c r="T203" i="11" s="1"/>
  <c r="L206" i="11"/>
  <c r="L205" i="11"/>
  <c r="L204" i="11"/>
  <c r="U203" i="11"/>
  <c r="S203" i="11"/>
  <c r="P203" i="11"/>
  <c r="N203" i="11"/>
  <c r="J202" i="11"/>
  <c r="J199" i="11"/>
  <c r="I198" i="11"/>
  <c r="K198" i="11" s="1"/>
  <c r="P196" i="11"/>
  <c r="L196" i="11"/>
  <c r="O196" i="11" s="1"/>
  <c r="J195" i="11"/>
  <c r="S194" i="11"/>
  <c r="S192" i="11" s="1"/>
  <c r="R194" i="11"/>
  <c r="U194" i="11" s="1"/>
  <c r="Q194" i="11"/>
  <c r="T194" i="11" s="1"/>
  <c r="N194" i="11"/>
  <c r="N192" i="11" s="1"/>
  <c r="M194" i="11"/>
  <c r="M192" i="11" s="1"/>
  <c r="P192" i="11" s="1"/>
  <c r="L194" i="11"/>
  <c r="L192" i="11" s="1"/>
  <c r="O192" i="11" s="1"/>
  <c r="U193" i="11"/>
  <c r="T193" i="11"/>
  <c r="P193" i="11"/>
  <c r="O193" i="11"/>
  <c r="S191" i="11"/>
  <c r="R191" i="11"/>
  <c r="Q191" i="11"/>
  <c r="N191" i="11"/>
  <c r="N189" i="11" s="1"/>
  <c r="M191" i="11"/>
  <c r="L191" i="11"/>
  <c r="L189" i="11" s="1"/>
  <c r="U190" i="11"/>
  <c r="T190" i="11"/>
  <c r="P190" i="11"/>
  <c r="O190" i="11"/>
  <c r="T187" i="11"/>
  <c r="S187" i="11"/>
  <c r="R187" i="11"/>
  <c r="U187" i="11" s="1"/>
  <c r="Q187" i="11"/>
  <c r="N187" i="11"/>
  <c r="M187" i="11"/>
  <c r="L187" i="11"/>
  <c r="O187" i="11" s="1"/>
  <c r="J185" i="11"/>
  <c r="K184" i="11"/>
  <c r="I183" i="11"/>
  <c r="U181" i="11"/>
  <c r="T181" i="11"/>
  <c r="N181" i="11"/>
  <c r="N179" i="11" s="1"/>
  <c r="M181" i="11"/>
  <c r="P181" i="11" s="1"/>
  <c r="L181" i="11"/>
  <c r="U180" i="11"/>
  <c r="T180" i="11"/>
  <c r="P180" i="11"/>
  <c r="O180" i="11"/>
  <c r="U179" i="11"/>
  <c r="T179" i="11"/>
  <c r="S179" i="11"/>
  <c r="R179" i="11"/>
  <c r="Q179" i="11"/>
  <c r="S178" i="11"/>
  <c r="S175" i="11" s="1"/>
  <c r="S173" i="11" s="1"/>
  <c r="R178" i="11"/>
  <c r="R175" i="11" s="1"/>
  <c r="Q178" i="11"/>
  <c r="Q175" i="11" s="1"/>
  <c r="N178" i="11"/>
  <c r="N176" i="11" s="1"/>
  <c r="M178" i="11"/>
  <c r="M176" i="11" s="1"/>
  <c r="L178" i="11"/>
  <c r="U177" i="11"/>
  <c r="T177" i="11"/>
  <c r="P177" i="11"/>
  <c r="O177" i="11"/>
  <c r="U174" i="11"/>
  <c r="T174" i="11"/>
  <c r="S174" i="11"/>
  <c r="R174" i="11"/>
  <c r="Q174" i="11"/>
  <c r="P174" i="11"/>
  <c r="O174" i="11"/>
  <c r="N174" i="11"/>
  <c r="M174" i="11"/>
  <c r="L174" i="11"/>
  <c r="J172" i="11"/>
  <c r="I169" i="11"/>
  <c r="I156" i="11" s="1"/>
  <c r="K156" i="11" s="1"/>
  <c r="I168" i="11"/>
  <c r="K168" i="11" s="1"/>
  <c r="I167" i="11"/>
  <c r="K167" i="11" s="1"/>
  <c r="U165" i="11"/>
  <c r="T165" i="11"/>
  <c r="N165" i="11"/>
  <c r="N163" i="11" s="1"/>
  <c r="M165" i="11"/>
  <c r="L165" i="11"/>
  <c r="U164" i="11"/>
  <c r="T164" i="11"/>
  <c r="P164" i="11"/>
  <c r="O164" i="11"/>
  <c r="T163" i="11"/>
  <c r="S163" i="11"/>
  <c r="R163" i="11"/>
  <c r="U163" i="11" s="1"/>
  <c r="Q163" i="11"/>
  <c r="S162" i="11"/>
  <c r="S160" i="11" s="1"/>
  <c r="R162" i="11"/>
  <c r="R159" i="11" s="1"/>
  <c r="Q162" i="11"/>
  <c r="Q159" i="11" s="1"/>
  <c r="N162" i="11"/>
  <c r="N160" i="11" s="1"/>
  <c r="M162" i="11"/>
  <c r="P162" i="11" s="1"/>
  <c r="L162" i="11"/>
  <c r="U161" i="11"/>
  <c r="T161" i="11"/>
  <c r="P161" i="11"/>
  <c r="O161" i="11"/>
  <c r="M160" i="11"/>
  <c r="P160" i="11" s="1"/>
  <c r="U158" i="11"/>
  <c r="T158" i="11"/>
  <c r="S158" i="11"/>
  <c r="R158" i="11"/>
  <c r="Q158" i="11"/>
  <c r="P158" i="11"/>
  <c r="O158" i="11"/>
  <c r="N158" i="11"/>
  <c r="M158" i="11"/>
  <c r="L158" i="11"/>
  <c r="J156" i="11"/>
  <c r="I154" i="11"/>
  <c r="K154" i="11" s="1"/>
  <c r="I153" i="11"/>
  <c r="K153" i="11" s="1"/>
  <c r="I152" i="11"/>
  <c r="K152" i="11" s="1"/>
  <c r="I151" i="11"/>
  <c r="K151" i="11" s="1"/>
  <c r="I150" i="11"/>
  <c r="K150" i="11" s="1"/>
  <c r="S147" i="11"/>
  <c r="S145" i="11" s="1"/>
  <c r="R147" i="11"/>
  <c r="Q147" i="11"/>
  <c r="Q145" i="11" s="1"/>
  <c r="T145" i="11" s="1"/>
  <c r="N147" i="11"/>
  <c r="N145" i="11" s="1"/>
  <c r="M147" i="11"/>
  <c r="L147" i="11"/>
  <c r="U146" i="11"/>
  <c r="T146" i="11"/>
  <c r="P146" i="11"/>
  <c r="O146" i="11"/>
  <c r="S144" i="11"/>
  <c r="S142" i="11" s="1"/>
  <c r="R144" i="11"/>
  <c r="Q144" i="11"/>
  <c r="Q142" i="11" s="1"/>
  <c r="T142" i="11" s="1"/>
  <c r="N144" i="11"/>
  <c r="M144" i="11"/>
  <c r="L144" i="11"/>
  <c r="U143" i="11"/>
  <c r="T143" i="11"/>
  <c r="P143" i="11"/>
  <c r="O143" i="11"/>
  <c r="U140" i="11"/>
  <c r="S140" i="11"/>
  <c r="R140" i="11"/>
  <c r="Q140" i="11"/>
  <c r="P140" i="11"/>
  <c r="O140" i="11"/>
  <c r="N140" i="11"/>
  <c r="M140" i="11"/>
  <c r="L140" i="11"/>
  <c r="J138" i="11"/>
  <c r="J137" i="11"/>
  <c r="J136" i="11"/>
  <c r="I130" i="11"/>
  <c r="K130" i="11" s="1"/>
  <c r="I129" i="11"/>
  <c r="K129" i="11" s="1"/>
  <c r="I128" i="11"/>
  <c r="K128" i="11" s="1"/>
  <c r="I127" i="11"/>
  <c r="S125" i="11"/>
  <c r="S123" i="11" s="1"/>
  <c r="R125" i="11"/>
  <c r="Q125" i="11"/>
  <c r="N125" i="11"/>
  <c r="N123" i="11" s="1"/>
  <c r="M125" i="11"/>
  <c r="P125" i="11" s="1"/>
  <c r="L125" i="11"/>
  <c r="O125" i="11" s="1"/>
  <c r="U124" i="11"/>
  <c r="T124" i="11"/>
  <c r="P124" i="11"/>
  <c r="O124" i="11"/>
  <c r="S122" i="11"/>
  <c r="S120" i="11" s="1"/>
  <c r="R122" i="11"/>
  <c r="Q122" i="11"/>
  <c r="N122" i="11"/>
  <c r="M122" i="11"/>
  <c r="P122" i="11" s="1"/>
  <c r="L122" i="11"/>
  <c r="O122" i="11" s="1"/>
  <c r="U121" i="11"/>
  <c r="T121" i="11"/>
  <c r="P121" i="11"/>
  <c r="O121" i="11"/>
  <c r="U118" i="11"/>
  <c r="T118" i="11"/>
  <c r="S118" i="11"/>
  <c r="R118" i="11"/>
  <c r="Q118" i="11"/>
  <c r="P118" i="11"/>
  <c r="O118" i="11"/>
  <c r="N118" i="11"/>
  <c r="M118" i="11"/>
  <c r="L118" i="11"/>
  <c r="J116" i="11"/>
  <c r="I114" i="11"/>
  <c r="K114" i="11" s="1"/>
  <c r="I109" i="11"/>
  <c r="I108" i="11"/>
  <c r="K108" i="11" s="1"/>
  <c r="U102" i="11"/>
  <c r="T102" i="11"/>
  <c r="N102" i="11"/>
  <c r="N100" i="11" s="1"/>
  <c r="M102" i="11"/>
  <c r="P102" i="11" s="1"/>
  <c r="L102" i="11"/>
  <c r="O102" i="11" s="1"/>
  <c r="U101" i="11"/>
  <c r="T101" i="11"/>
  <c r="P101" i="11"/>
  <c r="O101" i="11"/>
  <c r="T100" i="11"/>
  <c r="S100" i="11"/>
  <c r="R100" i="11"/>
  <c r="U100" i="11" s="1"/>
  <c r="Q100" i="11"/>
  <c r="S99" i="11"/>
  <c r="S97" i="11" s="1"/>
  <c r="R99" i="11"/>
  <c r="Q99" i="11"/>
  <c r="Q96" i="11" s="1"/>
  <c r="N99" i="11"/>
  <c r="N97" i="11" s="1"/>
  <c r="M99" i="11"/>
  <c r="P99" i="11" s="1"/>
  <c r="L99" i="11"/>
  <c r="O99" i="11" s="1"/>
  <c r="U98" i="11"/>
  <c r="T98" i="11"/>
  <c r="P98" i="11"/>
  <c r="O98" i="11"/>
  <c r="U95" i="11"/>
  <c r="T95" i="11"/>
  <c r="S95" i="11"/>
  <c r="R95" i="11"/>
  <c r="Q95" i="11"/>
  <c r="P95" i="11"/>
  <c r="O95" i="11"/>
  <c r="N95" i="11"/>
  <c r="M95" i="11"/>
  <c r="L95" i="11"/>
  <c r="J93" i="11"/>
  <c r="J92" i="11"/>
  <c r="I92" i="11"/>
  <c r="K92" i="11" s="1"/>
  <c r="I90" i="11"/>
  <c r="K90" i="11" s="1"/>
  <c r="I89" i="11"/>
  <c r="K89" i="11" s="1"/>
  <c r="I88" i="11"/>
  <c r="K88" i="11" s="1"/>
  <c r="I87" i="11"/>
  <c r="K87" i="11" s="1"/>
  <c r="I86" i="11"/>
  <c r="I85" i="11"/>
  <c r="K85" i="11" s="1"/>
  <c r="I84" i="11"/>
  <c r="K84" i="11" s="1"/>
  <c r="J83" i="11"/>
  <c r="J82" i="11"/>
  <c r="S80" i="11"/>
  <c r="S78" i="11" s="1"/>
  <c r="R80" i="11"/>
  <c r="Q80" i="11"/>
  <c r="Q78" i="11" s="1"/>
  <c r="T78" i="11" s="1"/>
  <c r="N80" i="11"/>
  <c r="N78" i="11" s="1"/>
  <c r="M80" i="11"/>
  <c r="L80" i="11"/>
  <c r="U79" i="11"/>
  <c r="T79" i="11"/>
  <c r="P79" i="11"/>
  <c r="O79" i="11"/>
  <c r="S77" i="11"/>
  <c r="S75" i="11" s="1"/>
  <c r="R77" i="11"/>
  <c r="Q77" i="11"/>
  <c r="Q75" i="11" s="1"/>
  <c r="T75" i="11" s="1"/>
  <c r="N77" i="11"/>
  <c r="N75" i="11" s="1"/>
  <c r="M77" i="11"/>
  <c r="L77" i="11"/>
  <c r="U76" i="11"/>
  <c r="T76" i="11"/>
  <c r="P76" i="11"/>
  <c r="O76" i="11"/>
  <c r="S73" i="11"/>
  <c r="R73" i="11"/>
  <c r="Q73" i="11"/>
  <c r="P73" i="11"/>
  <c r="N73" i="11"/>
  <c r="M73" i="11"/>
  <c r="L73" i="11"/>
  <c r="J71" i="11"/>
  <c r="J70" i="11"/>
  <c r="U67" i="11"/>
  <c r="T67" i="11"/>
  <c r="N67" i="11"/>
  <c r="N65" i="11" s="1"/>
  <c r="M67" i="11"/>
  <c r="P67" i="11" s="1"/>
  <c r="L67" i="11"/>
  <c r="O67" i="11" s="1"/>
  <c r="U66" i="11"/>
  <c r="T66" i="11"/>
  <c r="P66" i="11"/>
  <c r="O66" i="11"/>
  <c r="S65" i="11"/>
  <c r="R65" i="11"/>
  <c r="U65" i="11" s="1"/>
  <c r="Q65" i="11"/>
  <c r="T65" i="11" s="1"/>
  <c r="U64" i="11"/>
  <c r="T64" i="11"/>
  <c r="N64" i="11"/>
  <c r="N62" i="11" s="1"/>
  <c r="M64" i="11"/>
  <c r="M61" i="11" s="1"/>
  <c r="L64" i="11"/>
  <c r="U63" i="11"/>
  <c r="T63" i="11"/>
  <c r="P63" i="11"/>
  <c r="O63" i="11"/>
  <c r="U62" i="11"/>
  <c r="T62" i="11"/>
  <c r="S62" i="11"/>
  <c r="R62" i="11"/>
  <c r="Q62" i="11"/>
  <c r="T61" i="11"/>
  <c r="S61" i="11"/>
  <c r="S59" i="11" s="1"/>
  <c r="R61" i="11"/>
  <c r="U61" i="11" s="1"/>
  <c r="Q61" i="11"/>
  <c r="S60" i="11"/>
  <c r="R60" i="11"/>
  <c r="Q60" i="11"/>
  <c r="P60" i="11"/>
  <c r="N60" i="11"/>
  <c r="M60" i="11"/>
  <c r="L60" i="11"/>
  <c r="U52" i="11"/>
  <c r="T52" i="11"/>
  <c r="N52" i="11"/>
  <c r="N50" i="11" s="1"/>
  <c r="M52" i="11"/>
  <c r="P52" i="11" s="1"/>
  <c r="L52" i="11"/>
  <c r="L50" i="11" s="1"/>
  <c r="O50" i="11" s="1"/>
  <c r="U51" i="11"/>
  <c r="T51" i="11"/>
  <c r="P51" i="11"/>
  <c r="O51" i="11"/>
  <c r="S50" i="11"/>
  <c r="R50" i="11"/>
  <c r="U50" i="11" s="1"/>
  <c r="Q50" i="11"/>
  <c r="T50" i="11" s="1"/>
  <c r="U49" i="11"/>
  <c r="T49" i="11"/>
  <c r="N49" i="11"/>
  <c r="M49" i="11"/>
  <c r="L49" i="11"/>
  <c r="U48" i="11"/>
  <c r="T48" i="11"/>
  <c r="P48" i="11"/>
  <c r="O48" i="11"/>
  <c r="U47" i="11"/>
  <c r="T47" i="11"/>
  <c r="S47" i="11"/>
  <c r="R47" i="11"/>
  <c r="Q47" i="11"/>
  <c r="T46" i="11"/>
  <c r="S46" i="11"/>
  <c r="S44" i="11" s="1"/>
  <c r="R46" i="11"/>
  <c r="U46" i="11" s="1"/>
  <c r="Q46" i="11"/>
  <c r="S45" i="11"/>
  <c r="R45" i="11"/>
  <c r="Q45" i="11"/>
  <c r="P45" i="11"/>
  <c r="N45" i="11"/>
  <c r="M45" i="11"/>
  <c r="L45" i="11"/>
  <c r="U25" i="11"/>
  <c r="S25" i="11"/>
  <c r="R25" i="11"/>
  <c r="Q25" i="11"/>
  <c r="P25" i="11"/>
  <c r="O25" i="11"/>
  <c r="N25" i="11"/>
  <c r="M25" i="11"/>
  <c r="L25" i="11"/>
  <c r="U22" i="11"/>
  <c r="S22" i="11"/>
  <c r="R22" i="11"/>
  <c r="Q22" i="11"/>
  <c r="Q19" i="11" s="1"/>
  <c r="P22" i="11"/>
  <c r="O22" i="11"/>
  <c r="N22" i="11"/>
  <c r="M22" i="11"/>
  <c r="L22" i="11"/>
  <c r="U19" i="11"/>
  <c r="S19" i="11"/>
  <c r="R19" i="11"/>
  <c r="P19" i="11"/>
  <c r="O19" i="11"/>
  <c r="N19" i="11"/>
  <c r="M19" i="11"/>
  <c r="L19" i="11"/>
  <c r="A789" i="10"/>
  <c r="A788" i="10"/>
  <c r="J785" i="10"/>
  <c r="I785" i="10"/>
  <c r="J784" i="10"/>
  <c r="I784" i="10"/>
  <c r="J783" i="10"/>
  <c r="I783" i="10"/>
  <c r="K783" i="10" s="1"/>
  <c r="J782" i="10"/>
  <c r="I782" i="10"/>
  <c r="K782" i="10" s="1"/>
  <c r="J781" i="10"/>
  <c r="I781" i="10"/>
  <c r="J780" i="10"/>
  <c r="I780" i="10"/>
  <c r="J779" i="10"/>
  <c r="I779" i="10"/>
  <c r="J778" i="10"/>
  <c r="I778" i="10"/>
  <c r="H777" i="10"/>
  <c r="I776" i="10"/>
  <c r="I775" i="10"/>
  <c r="I774" i="10"/>
  <c r="I772" i="10"/>
  <c r="K772" i="10" s="1"/>
  <c r="I770" i="10"/>
  <c r="K770" i="10" s="1"/>
  <c r="U768" i="10"/>
  <c r="T768" i="10"/>
  <c r="P768" i="10"/>
  <c r="O768" i="10"/>
  <c r="U767" i="10"/>
  <c r="T767" i="10"/>
  <c r="P767" i="10"/>
  <c r="O767" i="10"/>
  <c r="U766" i="10"/>
  <c r="S766" i="10"/>
  <c r="R766" i="10"/>
  <c r="Q766" i="10"/>
  <c r="T766" i="10" s="1"/>
  <c r="P766" i="10"/>
  <c r="O766" i="10"/>
  <c r="N766" i="10"/>
  <c r="M766" i="10"/>
  <c r="L766" i="10"/>
  <c r="S765" i="10"/>
  <c r="R765" i="10"/>
  <c r="Q765" i="10"/>
  <c r="Q763" i="10" s="1"/>
  <c r="P765" i="10"/>
  <c r="O765" i="10"/>
  <c r="U764" i="10"/>
  <c r="T764" i="10"/>
  <c r="P764" i="10"/>
  <c r="O764" i="10"/>
  <c r="N763" i="10"/>
  <c r="M763" i="10"/>
  <c r="P763" i="10" s="1"/>
  <c r="L763" i="10"/>
  <c r="O763" i="10" s="1"/>
  <c r="P762" i="10"/>
  <c r="N762" i="10"/>
  <c r="M762" i="10"/>
  <c r="L762" i="10"/>
  <c r="U761" i="10"/>
  <c r="T761" i="10"/>
  <c r="S761" i="10"/>
  <c r="R761" i="10"/>
  <c r="Q761" i="10"/>
  <c r="P761" i="10"/>
  <c r="O761" i="10"/>
  <c r="N761" i="10"/>
  <c r="M761" i="10"/>
  <c r="L761" i="10"/>
  <c r="N760" i="10"/>
  <c r="M760" i="10"/>
  <c r="P760" i="10" s="1"/>
  <c r="J759" i="10"/>
  <c r="J758" i="10"/>
  <c r="I755" i="10"/>
  <c r="K755" i="10" s="1"/>
  <c r="I752" i="10"/>
  <c r="K752" i="10" s="1"/>
  <c r="I749" i="10"/>
  <c r="K749" i="10" s="1"/>
  <c r="I746" i="10"/>
  <c r="K746" i="10" s="1"/>
  <c r="I744" i="10"/>
  <c r="K744" i="10" s="1"/>
  <c r="I742" i="10"/>
  <c r="K742" i="10" s="1"/>
  <c r="I740" i="10"/>
  <c r="K740" i="10" s="1"/>
  <c r="U736" i="10"/>
  <c r="T736" i="10"/>
  <c r="P736" i="10"/>
  <c r="O736" i="10"/>
  <c r="U735" i="10"/>
  <c r="T735" i="10"/>
  <c r="P735" i="10"/>
  <c r="O735" i="10"/>
  <c r="U734" i="10"/>
  <c r="T734" i="10"/>
  <c r="S734" i="10"/>
  <c r="R734" i="10"/>
  <c r="Q734" i="10"/>
  <c r="P734" i="10"/>
  <c r="O734" i="10"/>
  <c r="N734" i="10"/>
  <c r="M734" i="10"/>
  <c r="L734" i="10"/>
  <c r="S733" i="10"/>
  <c r="R733" i="10"/>
  <c r="R731" i="10" s="1"/>
  <c r="Q733" i="10"/>
  <c r="P733" i="10"/>
  <c r="O733" i="10"/>
  <c r="U732" i="10"/>
  <c r="T732" i="10"/>
  <c r="P732" i="10"/>
  <c r="O732" i="10"/>
  <c r="N731" i="10"/>
  <c r="M731" i="10"/>
  <c r="P731" i="10" s="1"/>
  <c r="L731" i="10"/>
  <c r="O731" i="10" s="1"/>
  <c r="P730" i="10"/>
  <c r="O730" i="10"/>
  <c r="N730" i="10"/>
  <c r="M730" i="10"/>
  <c r="L730" i="10"/>
  <c r="U729" i="10"/>
  <c r="T729" i="10"/>
  <c r="S729" i="10"/>
  <c r="R729" i="10"/>
  <c r="Q729" i="10"/>
  <c r="O729" i="10"/>
  <c r="N729" i="10"/>
  <c r="N728" i="10" s="1"/>
  <c r="M729" i="10"/>
  <c r="P729" i="10" s="1"/>
  <c r="L729" i="10"/>
  <c r="M728" i="10"/>
  <c r="P728" i="10" s="1"/>
  <c r="L728" i="10"/>
  <c r="O728" i="10" s="1"/>
  <c r="J727" i="10"/>
  <c r="I727" i="10"/>
  <c r="K727" i="10" s="1"/>
  <c r="J726" i="10"/>
  <c r="I726" i="10"/>
  <c r="U722" i="10"/>
  <c r="T722" i="10"/>
  <c r="P722" i="10"/>
  <c r="O722" i="10"/>
  <c r="U721" i="10"/>
  <c r="T721" i="10"/>
  <c r="P721" i="10"/>
  <c r="O721" i="10"/>
  <c r="S720" i="10"/>
  <c r="R720" i="10"/>
  <c r="U720" i="10" s="1"/>
  <c r="Q720" i="10"/>
  <c r="T720" i="10" s="1"/>
  <c r="N720" i="10"/>
  <c r="M720" i="10"/>
  <c r="P720" i="10" s="1"/>
  <c r="L720" i="10"/>
  <c r="O720" i="10" s="1"/>
  <c r="U719" i="10"/>
  <c r="T719" i="10"/>
  <c r="P719" i="10"/>
  <c r="O719" i="10"/>
  <c r="U718" i="10"/>
  <c r="T718" i="10"/>
  <c r="P718" i="10"/>
  <c r="O718" i="10"/>
  <c r="S717" i="10"/>
  <c r="R717" i="10"/>
  <c r="U717" i="10" s="1"/>
  <c r="Q717" i="10"/>
  <c r="T717" i="10" s="1"/>
  <c r="N717" i="10"/>
  <c r="M717" i="10"/>
  <c r="P717" i="10" s="1"/>
  <c r="L717" i="10"/>
  <c r="O717" i="10" s="1"/>
  <c r="U716" i="10"/>
  <c r="S716" i="10"/>
  <c r="R716" i="10"/>
  <c r="Q716" i="10"/>
  <c r="P716" i="10"/>
  <c r="O716" i="10"/>
  <c r="N716" i="10"/>
  <c r="M716" i="10"/>
  <c r="L716" i="10"/>
  <c r="U715" i="10"/>
  <c r="T715" i="10"/>
  <c r="S715" i="10"/>
  <c r="R715" i="10"/>
  <c r="Q715" i="10"/>
  <c r="O715" i="10"/>
  <c r="N715" i="10"/>
  <c r="N714" i="10" s="1"/>
  <c r="M715" i="10"/>
  <c r="P715" i="10" s="1"/>
  <c r="L715" i="10"/>
  <c r="S714" i="10"/>
  <c r="R714" i="10"/>
  <c r="U714" i="10" s="1"/>
  <c r="M714" i="10"/>
  <c r="P714" i="10" s="1"/>
  <c r="L714" i="10"/>
  <c r="O714" i="10" s="1"/>
  <c r="K712" i="10"/>
  <c r="J712" i="10"/>
  <c r="K710" i="10"/>
  <c r="J710" i="10"/>
  <c r="J709" i="10"/>
  <c r="I709" i="10"/>
  <c r="K709" i="10" s="1"/>
  <c r="K708" i="10"/>
  <c r="J708" i="10"/>
  <c r="J707" i="10"/>
  <c r="I707" i="10"/>
  <c r="K706" i="10"/>
  <c r="J706" i="10"/>
  <c r="J705" i="10"/>
  <c r="I705" i="10"/>
  <c r="K704" i="10"/>
  <c r="J704" i="10"/>
  <c r="J703" i="10"/>
  <c r="I703" i="10"/>
  <c r="K702" i="10"/>
  <c r="I700" i="10"/>
  <c r="K700" i="10" s="1"/>
  <c r="U698" i="10"/>
  <c r="T698" i="10"/>
  <c r="P698" i="10"/>
  <c r="O698" i="10"/>
  <c r="U697" i="10"/>
  <c r="T697" i="10"/>
  <c r="P697" i="10"/>
  <c r="O697" i="10"/>
  <c r="S696" i="10"/>
  <c r="R696" i="10"/>
  <c r="U696" i="10" s="1"/>
  <c r="Q696" i="10"/>
  <c r="T696" i="10" s="1"/>
  <c r="P696" i="10"/>
  <c r="N696" i="10"/>
  <c r="M696" i="10"/>
  <c r="L696" i="10"/>
  <c r="O696" i="10" s="1"/>
  <c r="S695" i="10"/>
  <c r="S692" i="10" s="1"/>
  <c r="S690" i="10" s="1"/>
  <c r="R695" i="10"/>
  <c r="R693" i="10" s="1"/>
  <c r="Q695" i="10"/>
  <c r="Q693" i="10" s="1"/>
  <c r="T693" i="10" s="1"/>
  <c r="P695" i="10"/>
  <c r="O695" i="10"/>
  <c r="U694" i="10"/>
  <c r="T694" i="10"/>
  <c r="P694" i="10"/>
  <c r="O694" i="10"/>
  <c r="O693" i="10"/>
  <c r="N693" i="10"/>
  <c r="M693" i="10"/>
  <c r="P693" i="10" s="1"/>
  <c r="L693" i="10"/>
  <c r="N692" i="10"/>
  <c r="M692" i="10"/>
  <c r="L692" i="10"/>
  <c r="O692" i="10" s="1"/>
  <c r="U691" i="10"/>
  <c r="S691" i="10"/>
  <c r="R691" i="10"/>
  <c r="Q691" i="10"/>
  <c r="P691" i="10"/>
  <c r="O691" i="10"/>
  <c r="N691" i="10"/>
  <c r="M691" i="10"/>
  <c r="L691" i="10"/>
  <c r="O690" i="10"/>
  <c r="N690" i="10"/>
  <c r="L690" i="10"/>
  <c r="J682" i="10"/>
  <c r="I682" i="10"/>
  <c r="K682" i="10" s="1"/>
  <c r="J681" i="10"/>
  <c r="I681" i="10"/>
  <c r="K681" i="10" s="1"/>
  <c r="J680" i="10"/>
  <c r="J679" i="10"/>
  <c r="I679" i="10"/>
  <c r="K679" i="10" s="1"/>
  <c r="J678" i="10"/>
  <c r="I678" i="10"/>
  <c r="K678" i="10" s="1"/>
  <c r="J677" i="10"/>
  <c r="J676" i="10"/>
  <c r="I676" i="10"/>
  <c r="K676" i="10" s="1"/>
  <c r="I675" i="10"/>
  <c r="K675" i="10" s="1"/>
  <c r="I674" i="10"/>
  <c r="K674" i="10" s="1"/>
  <c r="J673" i="10"/>
  <c r="I673" i="10"/>
  <c r="K673" i="10" s="1"/>
  <c r="J672" i="10"/>
  <c r="J671" i="10"/>
  <c r="J661" i="10"/>
  <c r="I661" i="10"/>
  <c r="K661" i="10" s="1"/>
  <c r="I660" i="10"/>
  <c r="I657" i="10"/>
  <c r="J654" i="10"/>
  <c r="I654" i="10"/>
  <c r="K654" i="10" s="1"/>
  <c r="J653" i="10"/>
  <c r="I653" i="10"/>
  <c r="K653" i="10" s="1"/>
  <c r="J652" i="10"/>
  <c r="I652" i="10"/>
  <c r="K652" i="10" s="1"/>
  <c r="U650" i="10"/>
  <c r="T650" i="10"/>
  <c r="P650" i="10"/>
  <c r="O650" i="10"/>
  <c r="U649" i="10"/>
  <c r="T649" i="10"/>
  <c r="P649" i="10"/>
  <c r="O649" i="10"/>
  <c r="S648" i="10"/>
  <c r="R648" i="10"/>
  <c r="U648" i="10" s="1"/>
  <c r="Q648" i="10"/>
  <c r="T648" i="10" s="1"/>
  <c r="N648" i="10"/>
  <c r="M648" i="10"/>
  <c r="P648" i="10" s="1"/>
  <c r="L648" i="10"/>
  <c r="O648" i="10" s="1"/>
  <c r="S647" i="10"/>
  <c r="S645" i="10" s="1"/>
  <c r="R647" i="10"/>
  <c r="U647" i="10" s="1"/>
  <c r="Q647" i="10"/>
  <c r="P647" i="10"/>
  <c r="O647" i="10"/>
  <c r="U646" i="10"/>
  <c r="T646" i="10"/>
  <c r="P646" i="10"/>
  <c r="O646" i="10"/>
  <c r="P645" i="10"/>
  <c r="O645" i="10"/>
  <c r="N645" i="10"/>
  <c r="M645" i="10"/>
  <c r="L645" i="10"/>
  <c r="O644" i="10"/>
  <c r="N644" i="10"/>
  <c r="M644" i="10"/>
  <c r="P644" i="10" s="1"/>
  <c r="L644" i="10"/>
  <c r="S643" i="10"/>
  <c r="R643" i="10"/>
  <c r="U643" i="10" s="1"/>
  <c r="Q643" i="10"/>
  <c r="N643" i="10"/>
  <c r="M643" i="10"/>
  <c r="P643" i="10" s="1"/>
  <c r="L643" i="10"/>
  <c r="O643" i="10" s="1"/>
  <c r="N642" i="10"/>
  <c r="J636" i="10"/>
  <c r="J635" i="10"/>
  <c r="I635" i="10"/>
  <c r="K635" i="10" s="1"/>
  <c r="J632" i="10"/>
  <c r="I628" i="10"/>
  <c r="K628" i="10" s="1"/>
  <c r="I627" i="10"/>
  <c r="K627" i="10" s="1"/>
  <c r="J626" i="10"/>
  <c r="I626" i="10"/>
  <c r="U624" i="10"/>
  <c r="T624" i="10"/>
  <c r="P624" i="10"/>
  <c r="O624" i="10"/>
  <c r="U623" i="10"/>
  <c r="T623" i="10"/>
  <c r="P623" i="10"/>
  <c r="O623" i="10"/>
  <c r="U622" i="10"/>
  <c r="S622" i="10"/>
  <c r="R622" i="10"/>
  <c r="Q622" i="10"/>
  <c r="T622" i="10" s="1"/>
  <c r="O622" i="10"/>
  <c r="N622" i="10"/>
  <c r="M622" i="10"/>
  <c r="P622" i="10" s="1"/>
  <c r="L622" i="10"/>
  <c r="S621" i="10"/>
  <c r="S618" i="10" s="1"/>
  <c r="S616" i="10" s="1"/>
  <c r="R621" i="10"/>
  <c r="Q621" i="10"/>
  <c r="P621" i="10"/>
  <c r="O621" i="10"/>
  <c r="U620" i="10"/>
  <c r="T620" i="10"/>
  <c r="P620" i="10"/>
  <c r="O620" i="10"/>
  <c r="P619" i="10"/>
  <c r="N619" i="10"/>
  <c r="M619" i="10"/>
  <c r="L619" i="10"/>
  <c r="O619" i="10" s="1"/>
  <c r="N618" i="10"/>
  <c r="N616" i="10" s="1"/>
  <c r="M618" i="10"/>
  <c r="P618" i="10" s="1"/>
  <c r="L618" i="10"/>
  <c r="O618" i="10" s="1"/>
  <c r="S617" i="10"/>
  <c r="R617" i="10"/>
  <c r="Q617" i="10"/>
  <c r="T617" i="10" s="1"/>
  <c r="P617" i="10"/>
  <c r="N617" i="10"/>
  <c r="M617" i="10"/>
  <c r="L617" i="10"/>
  <c r="P616" i="10"/>
  <c r="M616" i="10"/>
  <c r="J615" i="10"/>
  <c r="S607" i="10"/>
  <c r="S605" i="10" s="1"/>
  <c r="R607" i="10"/>
  <c r="Q607" i="10"/>
  <c r="N607" i="10"/>
  <c r="N605" i="10" s="1"/>
  <c r="M607" i="10"/>
  <c r="L607" i="10"/>
  <c r="O607" i="10" s="1"/>
  <c r="U606" i="10"/>
  <c r="T606" i="10"/>
  <c r="P606" i="10"/>
  <c r="O606" i="10"/>
  <c r="S604" i="10"/>
  <c r="R604" i="10"/>
  <c r="Q604" i="10"/>
  <c r="N604" i="10"/>
  <c r="N602" i="10" s="1"/>
  <c r="M604" i="10"/>
  <c r="M602" i="10" s="1"/>
  <c r="L604" i="10"/>
  <c r="U603" i="10"/>
  <c r="T603" i="10"/>
  <c r="P603" i="10"/>
  <c r="O603" i="10"/>
  <c r="U600" i="10"/>
  <c r="S600" i="10"/>
  <c r="R600" i="10"/>
  <c r="Q600" i="10"/>
  <c r="T600" i="10" s="1"/>
  <c r="P600" i="10"/>
  <c r="O600" i="10"/>
  <c r="N600" i="10"/>
  <c r="M600" i="10"/>
  <c r="L600" i="10"/>
  <c r="U584" i="10"/>
  <c r="T584" i="10"/>
  <c r="N584" i="10"/>
  <c r="M584" i="10"/>
  <c r="L584" i="10"/>
  <c r="O584" i="10" s="1"/>
  <c r="U583" i="10"/>
  <c r="T583" i="10"/>
  <c r="P583" i="10"/>
  <c r="O583" i="10"/>
  <c r="U582" i="10"/>
  <c r="S582" i="10"/>
  <c r="R582" i="10"/>
  <c r="Q582" i="10"/>
  <c r="T582" i="10" s="1"/>
  <c r="U581" i="10"/>
  <c r="T581" i="10"/>
  <c r="N581" i="10"/>
  <c r="N579" i="10" s="1"/>
  <c r="M581" i="10"/>
  <c r="P581" i="10" s="1"/>
  <c r="L581" i="10"/>
  <c r="U580" i="10"/>
  <c r="T580" i="10"/>
  <c r="P580" i="10"/>
  <c r="O580" i="10"/>
  <c r="S579" i="10"/>
  <c r="R579" i="10"/>
  <c r="U579" i="10" s="1"/>
  <c r="Q579" i="10"/>
  <c r="T579" i="10" s="1"/>
  <c r="S578" i="10"/>
  <c r="R578" i="10"/>
  <c r="U578" i="10" s="1"/>
  <c r="Q578" i="10"/>
  <c r="U577" i="10"/>
  <c r="S577" i="10"/>
  <c r="R577" i="10"/>
  <c r="Q577" i="10"/>
  <c r="T577" i="10" s="1"/>
  <c r="O577" i="10"/>
  <c r="N577" i="10"/>
  <c r="M577" i="10"/>
  <c r="P577" i="10" s="1"/>
  <c r="L577" i="10"/>
  <c r="U576" i="10"/>
  <c r="S576" i="10"/>
  <c r="R576" i="10"/>
  <c r="J575" i="10"/>
  <c r="I575" i="10"/>
  <c r="K575" i="10" s="1"/>
  <c r="U563" i="10"/>
  <c r="T563" i="10"/>
  <c r="N563" i="10"/>
  <c r="N561" i="10" s="1"/>
  <c r="M563" i="10"/>
  <c r="P563" i="10" s="1"/>
  <c r="L563" i="10"/>
  <c r="O563" i="10" s="1"/>
  <c r="U562" i="10"/>
  <c r="T562" i="10"/>
  <c r="P562" i="10"/>
  <c r="O562" i="10"/>
  <c r="T561" i="10"/>
  <c r="S561" i="10"/>
  <c r="R561" i="10"/>
  <c r="U561" i="10" s="1"/>
  <c r="Q561" i="10"/>
  <c r="U560" i="10"/>
  <c r="T560" i="10"/>
  <c r="N560" i="10"/>
  <c r="N558" i="10" s="1"/>
  <c r="M560" i="10"/>
  <c r="P560" i="10" s="1"/>
  <c r="L560" i="10"/>
  <c r="O560" i="10" s="1"/>
  <c r="U559" i="10"/>
  <c r="T559" i="10"/>
  <c r="P559" i="10"/>
  <c r="O559" i="10"/>
  <c r="U558" i="10"/>
  <c r="S558" i="10"/>
  <c r="R558" i="10"/>
  <c r="Q558" i="10"/>
  <c r="T558" i="10" s="1"/>
  <c r="T557" i="10"/>
  <c r="S557" i="10"/>
  <c r="R557" i="10"/>
  <c r="U557" i="10" s="1"/>
  <c r="Q557" i="10"/>
  <c r="S556" i="10"/>
  <c r="R556" i="10"/>
  <c r="Q556" i="10"/>
  <c r="T556" i="10" s="1"/>
  <c r="P556" i="10"/>
  <c r="N556" i="10"/>
  <c r="M556" i="10"/>
  <c r="L556" i="10"/>
  <c r="S555" i="10"/>
  <c r="Q555" i="10"/>
  <c r="T555" i="10" s="1"/>
  <c r="J554" i="10"/>
  <c r="I554" i="10"/>
  <c r="K554" i="10" s="1"/>
  <c r="U542" i="10"/>
  <c r="T542" i="10"/>
  <c r="N542" i="10"/>
  <c r="M542" i="10"/>
  <c r="M540" i="10" s="1"/>
  <c r="P540" i="10" s="1"/>
  <c r="L542" i="10"/>
  <c r="O542" i="10" s="1"/>
  <c r="U541" i="10"/>
  <c r="T541" i="10"/>
  <c r="P541" i="10"/>
  <c r="O541" i="10"/>
  <c r="S540" i="10"/>
  <c r="R540" i="10"/>
  <c r="U540" i="10" s="1"/>
  <c r="Q540" i="10"/>
  <c r="T540" i="10" s="1"/>
  <c r="U539" i="10"/>
  <c r="T539" i="10"/>
  <c r="N539" i="10"/>
  <c r="M539" i="10"/>
  <c r="M537" i="10" s="1"/>
  <c r="P537" i="10" s="1"/>
  <c r="L539" i="10"/>
  <c r="L537" i="10" s="1"/>
  <c r="O537" i="10" s="1"/>
  <c r="U538" i="10"/>
  <c r="T538" i="10"/>
  <c r="P538" i="10"/>
  <c r="O538" i="10"/>
  <c r="U537" i="10"/>
  <c r="T537" i="10"/>
  <c r="S537" i="10"/>
  <c r="R537" i="10"/>
  <c r="Q537" i="10"/>
  <c r="N537" i="10"/>
  <c r="S536" i="10"/>
  <c r="R536" i="10"/>
  <c r="R534" i="10" s="1"/>
  <c r="U534" i="10" s="1"/>
  <c r="Q536" i="10"/>
  <c r="T536" i="10" s="1"/>
  <c r="U535" i="10"/>
  <c r="S535" i="10"/>
  <c r="R535" i="10"/>
  <c r="Q535" i="10"/>
  <c r="T535" i="10" s="1"/>
  <c r="P535" i="10"/>
  <c r="O535" i="10"/>
  <c r="N535" i="10"/>
  <c r="M535" i="10"/>
  <c r="L535" i="10"/>
  <c r="S534" i="10"/>
  <c r="J533" i="10"/>
  <c r="I533" i="10"/>
  <c r="K533" i="10" s="1"/>
  <c r="K524" i="10"/>
  <c r="K523" i="10"/>
  <c r="U521" i="10"/>
  <c r="T521" i="10"/>
  <c r="N521" i="10"/>
  <c r="M521" i="10"/>
  <c r="L521" i="10"/>
  <c r="O521" i="10" s="1"/>
  <c r="U520" i="10"/>
  <c r="T520" i="10"/>
  <c r="P520" i="10"/>
  <c r="O520" i="10"/>
  <c r="U519" i="10"/>
  <c r="S519" i="10"/>
  <c r="R519" i="10"/>
  <c r="Q519" i="10"/>
  <c r="T519" i="10" s="1"/>
  <c r="U518" i="10"/>
  <c r="T518" i="10"/>
  <c r="N518" i="10"/>
  <c r="N516" i="10" s="1"/>
  <c r="M518" i="10"/>
  <c r="L518" i="10"/>
  <c r="U517" i="10"/>
  <c r="T517" i="10"/>
  <c r="P517" i="10"/>
  <c r="O517" i="10"/>
  <c r="T516" i="10"/>
  <c r="S516" i="10"/>
  <c r="R516" i="10"/>
  <c r="U516" i="10" s="1"/>
  <c r="Q516" i="10"/>
  <c r="S515" i="10"/>
  <c r="R515" i="10"/>
  <c r="U515" i="10" s="1"/>
  <c r="Q515" i="10"/>
  <c r="T515" i="10" s="1"/>
  <c r="U514" i="10"/>
  <c r="T514" i="10"/>
  <c r="S514" i="10"/>
  <c r="R514" i="10"/>
  <c r="Q514" i="10"/>
  <c r="O514" i="10"/>
  <c r="N514" i="10"/>
  <c r="M514" i="10"/>
  <c r="P514" i="10" s="1"/>
  <c r="L514" i="10"/>
  <c r="S513" i="10"/>
  <c r="R513" i="10"/>
  <c r="U513" i="10" s="1"/>
  <c r="Q513" i="10"/>
  <c r="T513" i="10" s="1"/>
  <c r="K512" i="10"/>
  <c r="J512" i="10"/>
  <c r="I512" i="10"/>
  <c r="I509" i="10"/>
  <c r="K509" i="10" s="1"/>
  <c r="K508" i="10"/>
  <c r="I507" i="10"/>
  <c r="K507" i="10" s="1"/>
  <c r="I506" i="10"/>
  <c r="K506" i="10" s="1"/>
  <c r="I505" i="10"/>
  <c r="I504" i="10"/>
  <c r="K504" i="10" s="1"/>
  <c r="I503" i="10"/>
  <c r="U501" i="10"/>
  <c r="T501" i="10"/>
  <c r="N501" i="10"/>
  <c r="N499" i="10" s="1"/>
  <c r="M501" i="10"/>
  <c r="P501" i="10" s="1"/>
  <c r="L501" i="10"/>
  <c r="U500" i="10"/>
  <c r="T500" i="10"/>
  <c r="P500" i="10"/>
  <c r="O500" i="10"/>
  <c r="U499" i="10"/>
  <c r="T499" i="10"/>
  <c r="S499" i="10"/>
  <c r="R499" i="10"/>
  <c r="Q499" i="10"/>
  <c r="S498" i="10"/>
  <c r="R498" i="10"/>
  <c r="Q498" i="10"/>
  <c r="Q495" i="10" s="1"/>
  <c r="T495" i="10" s="1"/>
  <c r="N498" i="10"/>
  <c r="N496" i="10" s="1"/>
  <c r="M498" i="10"/>
  <c r="M496" i="10" s="1"/>
  <c r="P496" i="10" s="1"/>
  <c r="L498" i="10"/>
  <c r="U497" i="10"/>
  <c r="T497" i="10"/>
  <c r="P497" i="10"/>
  <c r="O497" i="10"/>
  <c r="S494" i="10"/>
  <c r="R494" i="10"/>
  <c r="U494" i="10" s="1"/>
  <c r="Q494" i="10"/>
  <c r="T494" i="10" s="1"/>
  <c r="P494" i="10"/>
  <c r="N494" i="10"/>
  <c r="M494" i="10"/>
  <c r="L494" i="10"/>
  <c r="O494" i="10" s="1"/>
  <c r="K485" i="10"/>
  <c r="J485" i="10"/>
  <c r="I485" i="10"/>
  <c r="J484" i="10"/>
  <c r="I484" i="10"/>
  <c r="K484" i="10" s="1"/>
  <c r="J483" i="10"/>
  <c r="J482" i="10"/>
  <c r="K477" i="10"/>
  <c r="J477" i="10"/>
  <c r="K476" i="10"/>
  <c r="J476" i="10"/>
  <c r="K475" i="10"/>
  <c r="J475" i="10"/>
  <c r="J468" i="10"/>
  <c r="J467" i="10"/>
  <c r="J460" i="10"/>
  <c r="J459" i="10"/>
  <c r="J458" i="10"/>
  <c r="I458" i="10"/>
  <c r="K458" i="10" s="1"/>
  <c r="J457" i="10"/>
  <c r="I457" i="10"/>
  <c r="I456" i="10" s="1"/>
  <c r="K456" i="10" s="1"/>
  <c r="J456" i="10"/>
  <c r="J447" i="10"/>
  <c r="J446" i="10"/>
  <c r="J440" i="10" s="1"/>
  <c r="J441" i="10"/>
  <c r="I441" i="10"/>
  <c r="K441" i="10" s="1"/>
  <c r="I440" i="10"/>
  <c r="K440" i="10" s="1"/>
  <c r="J433" i="10"/>
  <c r="I433" i="10"/>
  <c r="K433" i="10" s="1"/>
  <c r="J432" i="10"/>
  <c r="I432" i="10"/>
  <c r="K432" i="10" s="1"/>
  <c r="J425" i="10"/>
  <c r="I425" i="10"/>
  <c r="K425" i="10" s="1"/>
  <c r="J424" i="10"/>
  <c r="I424" i="10"/>
  <c r="K424" i="10" s="1"/>
  <c r="J423" i="10"/>
  <c r="U421" i="10"/>
  <c r="T421" i="10"/>
  <c r="N421" i="10"/>
  <c r="N419" i="10" s="1"/>
  <c r="M421" i="10"/>
  <c r="P421" i="10" s="1"/>
  <c r="L421" i="10"/>
  <c r="O421" i="10" s="1"/>
  <c r="U420" i="10"/>
  <c r="T420" i="10"/>
  <c r="P420" i="10"/>
  <c r="O420" i="10"/>
  <c r="T419" i="10"/>
  <c r="S419" i="10"/>
  <c r="R419" i="10"/>
  <c r="U419" i="10" s="1"/>
  <c r="Q419" i="10"/>
  <c r="S418" i="10"/>
  <c r="S416" i="10" s="1"/>
  <c r="R418" i="10"/>
  <c r="R416" i="10" s="1"/>
  <c r="U416" i="10" s="1"/>
  <c r="Q418" i="10"/>
  <c r="N418" i="10"/>
  <c r="N416" i="10" s="1"/>
  <c r="M418" i="10"/>
  <c r="M416" i="10" s="1"/>
  <c r="L418" i="10"/>
  <c r="L416" i="10" s="1"/>
  <c r="O416" i="10" s="1"/>
  <c r="U417" i="10"/>
  <c r="T417" i="10"/>
  <c r="P417" i="10"/>
  <c r="O417" i="10"/>
  <c r="S414" i="10"/>
  <c r="R414" i="10"/>
  <c r="Q414" i="10"/>
  <c r="T414" i="10" s="1"/>
  <c r="P414" i="10"/>
  <c r="N414" i="10"/>
  <c r="M414" i="10"/>
  <c r="L414" i="10"/>
  <c r="J412" i="10"/>
  <c r="U400" i="10"/>
  <c r="T400" i="10"/>
  <c r="P400" i="10"/>
  <c r="O400" i="10"/>
  <c r="U399" i="10"/>
  <c r="T399" i="10"/>
  <c r="P399" i="10"/>
  <c r="O399" i="10"/>
  <c r="S398" i="10"/>
  <c r="R398" i="10"/>
  <c r="U398" i="10" s="1"/>
  <c r="Q398" i="10"/>
  <c r="T398" i="10" s="1"/>
  <c r="N398" i="10"/>
  <c r="M398" i="10"/>
  <c r="P398" i="10" s="1"/>
  <c r="L398" i="10"/>
  <c r="O398" i="10" s="1"/>
  <c r="S397" i="10"/>
  <c r="R397" i="10"/>
  <c r="R395" i="10" s="1"/>
  <c r="U395" i="10" s="1"/>
  <c r="Q397" i="10"/>
  <c r="P397" i="10"/>
  <c r="O397" i="10"/>
  <c r="U396" i="10"/>
  <c r="T396" i="10"/>
  <c r="P396" i="10"/>
  <c r="O396" i="10"/>
  <c r="P395" i="10"/>
  <c r="N395" i="10"/>
  <c r="M395" i="10"/>
  <c r="L395" i="10"/>
  <c r="O395" i="10" s="1"/>
  <c r="P394" i="10"/>
  <c r="O394" i="10"/>
  <c r="N394" i="10"/>
  <c r="M394" i="10"/>
  <c r="L394" i="10"/>
  <c r="T393" i="10"/>
  <c r="S393" i="10"/>
  <c r="R393" i="10"/>
  <c r="Q393" i="10"/>
  <c r="N393" i="10"/>
  <c r="M393" i="10"/>
  <c r="P393" i="10" s="1"/>
  <c r="L393" i="10"/>
  <c r="K391" i="10"/>
  <c r="J391" i="10"/>
  <c r="I391" i="10"/>
  <c r="J388" i="10"/>
  <c r="I388" i="10"/>
  <c r="K388" i="10" s="1"/>
  <c r="K387" i="10"/>
  <c r="J387" i="10"/>
  <c r="J386" i="10"/>
  <c r="I386" i="10"/>
  <c r="K385" i="10"/>
  <c r="J385" i="10"/>
  <c r="U383" i="10"/>
  <c r="T383" i="10"/>
  <c r="N383" i="10"/>
  <c r="N381" i="10" s="1"/>
  <c r="M383" i="10"/>
  <c r="L383" i="10"/>
  <c r="U382" i="10"/>
  <c r="T382" i="10"/>
  <c r="P382" i="10"/>
  <c r="O382" i="10"/>
  <c r="U381" i="10"/>
  <c r="T381" i="10"/>
  <c r="S381" i="10"/>
  <c r="R381" i="10"/>
  <c r="Q381" i="10"/>
  <c r="S380" i="10"/>
  <c r="S378" i="10" s="1"/>
  <c r="R380" i="10"/>
  <c r="R377" i="10" s="1"/>
  <c r="Q380" i="10"/>
  <c r="Q377" i="10" s="1"/>
  <c r="N380" i="10"/>
  <c r="N378" i="10" s="1"/>
  <c r="M380" i="10"/>
  <c r="L380" i="10"/>
  <c r="U379" i="10"/>
  <c r="T379" i="10"/>
  <c r="P379" i="10"/>
  <c r="O379" i="10"/>
  <c r="S376" i="10"/>
  <c r="R376" i="10"/>
  <c r="U376" i="10" s="1"/>
  <c r="Q376" i="10"/>
  <c r="T376" i="10" s="1"/>
  <c r="P376" i="10"/>
  <c r="N376" i="10"/>
  <c r="M376" i="10"/>
  <c r="L376" i="10"/>
  <c r="O376" i="10" s="1"/>
  <c r="D373" i="10"/>
  <c r="K372" i="10"/>
  <c r="J372" i="10"/>
  <c r="J371" i="10"/>
  <c r="J365" i="10" s="1"/>
  <c r="I371" i="10"/>
  <c r="I365" i="10" s="1"/>
  <c r="K370" i="10"/>
  <c r="J370" i="10"/>
  <c r="J369" i="10"/>
  <c r="I369" i="10"/>
  <c r="J368" i="10"/>
  <c r="I368" i="10"/>
  <c r="K367" i="10"/>
  <c r="J367" i="10"/>
  <c r="U364" i="10"/>
  <c r="T364" i="10"/>
  <c r="N364" i="10"/>
  <c r="N362" i="10" s="1"/>
  <c r="M364" i="10"/>
  <c r="L364" i="10"/>
  <c r="O364" i="10" s="1"/>
  <c r="U363" i="10"/>
  <c r="T363" i="10"/>
  <c r="P363" i="10"/>
  <c r="O363" i="10"/>
  <c r="U362" i="10"/>
  <c r="T362" i="10"/>
  <c r="S362" i="10"/>
  <c r="R362" i="10"/>
  <c r="Q362" i="10"/>
  <c r="U361" i="10"/>
  <c r="T361" i="10"/>
  <c r="N361" i="10"/>
  <c r="N359" i="10" s="1"/>
  <c r="M361" i="10"/>
  <c r="M359" i="10" s="1"/>
  <c r="L361" i="10"/>
  <c r="U360" i="10"/>
  <c r="T360" i="10"/>
  <c r="P360" i="10"/>
  <c r="O360" i="10"/>
  <c r="S359" i="10"/>
  <c r="R359" i="10"/>
  <c r="U359" i="10" s="1"/>
  <c r="Q359" i="10"/>
  <c r="T359" i="10" s="1"/>
  <c r="U358" i="10"/>
  <c r="S358" i="10"/>
  <c r="R358" i="10"/>
  <c r="Q358" i="10"/>
  <c r="T358" i="10" s="1"/>
  <c r="T357" i="10"/>
  <c r="S357" i="10"/>
  <c r="R357" i="10"/>
  <c r="U357" i="10" s="1"/>
  <c r="Q357" i="10"/>
  <c r="Q356" i="10" s="1"/>
  <c r="T356" i="10" s="1"/>
  <c r="N357" i="10"/>
  <c r="M357" i="10"/>
  <c r="P357" i="10" s="1"/>
  <c r="L357" i="10"/>
  <c r="S356" i="10"/>
  <c r="R356" i="10"/>
  <c r="U356" i="10" s="1"/>
  <c r="J354" i="10"/>
  <c r="J353" i="10"/>
  <c r="J352" i="10"/>
  <c r="D350" i="10"/>
  <c r="J349" i="10"/>
  <c r="J348" i="10"/>
  <c r="J347" i="10"/>
  <c r="J346" i="10"/>
  <c r="I346" i="10"/>
  <c r="K344" i="10"/>
  <c r="J344" i="10"/>
  <c r="U341" i="10"/>
  <c r="T341" i="10"/>
  <c r="N341" i="10"/>
  <c r="N339" i="10" s="1"/>
  <c r="M341" i="10"/>
  <c r="M339" i="10" s="1"/>
  <c r="P339" i="10" s="1"/>
  <c r="L341" i="10"/>
  <c r="U340" i="10"/>
  <c r="T340" i="10"/>
  <c r="P340" i="10"/>
  <c r="O340" i="10"/>
  <c r="S339" i="10"/>
  <c r="R339" i="10"/>
  <c r="U339" i="10" s="1"/>
  <c r="Q339" i="10"/>
  <c r="T339" i="10" s="1"/>
  <c r="U338" i="10"/>
  <c r="T338" i="10"/>
  <c r="N338" i="10"/>
  <c r="N336" i="10" s="1"/>
  <c r="M338" i="10"/>
  <c r="L338" i="10"/>
  <c r="L336" i="10" s="1"/>
  <c r="U337" i="10"/>
  <c r="T337" i="10"/>
  <c r="P337" i="10"/>
  <c r="O337" i="10"/>
  <c r="T336" i="10"/>
  <c r="S336" i="10"/>
  <c r="R336" i="10"/>
  <c r="U336" i="10" s="1"/>
  <c r="Q336" i="10"/>
  <c r="S335" i="10"/>
  <c r="R335" i="10"/>
  <c r="U335" i="10" s="1"/>
  <c r="Q335" i="10"/>
  <c r="T335" i="10" s="1"/>
  <c r="U334" i="10"/>
  <c r="S334" i="10"/>
  <c r="S333" i="10" s="1"/>
  <c r="R334" i="10"/>
  <c r="Q334" i="10"/>
  <c r="P334" i="10"/>
  <c r="O334" i="10"/>
  <c r="N334" i="10"/>
  <c r="M334" i="10"/>
  <c r="L334" i="10"/>
  <c r="R333" i="10"/>
  <c r="U333" i="10" s="1"/>
  <c r="I332" i="10"/>
  <c r="I330" i="10"/>
  <c r="I319" i="10" s="1"/>
  <c r="K319" i="10" s="1"/>
  <c r="U328" i="10"/>
  <c r="T328" i="10"/>
  <c r="N328" i="10"/>
  <c r="M328" i="10"/>
  <c r="P328" i="10" s="1"/>
  <c r="L328" i="10"/>
  <c r="U327" i="10"/>
  <c r="T327" i="10"/>
  <c r="P327" i="10"/>
  <c r="O327" i="10"/>
  <c r="U326" i="10"/>
  <c r="T326" i="10"/>
  <c r="S326" i="10"/>
  <c r="R326" i="10"/>
  <c r="Q326" i="10"/>
  <c r="U325" i="10"/>
  <c r="T325" i="10"/>
  <c r="N325" i="10"/>
  <c r="N323" i="10" s="1"/>
  <c r="M325" i="10"/>
  <c r="P325" i="10" s="1"/>
  <c r="L325" i="10"/>
  <c r="U324" i="10"/>
  <c r="T324" i="10"/>
  <c r="P324" i="10"/>
  <c r="O324" i="10"/>
  <c r="T323" i="10"/>
  <c r="S323" i="10"/>
  <c r="R323" i="10"/>
  <c r="U323" i="10" s="1"/>
  <c r="Q323" i="10"/>
  <c r="U322" i="10"/>
  <c r="S322" i="10"/>
  <c r="R322" i="10"/>
  <c r="Q322" i="10"/>
  <c r="T322" i="10" s="1"/>
  <c r="U321" i="10"/>
  <c r="T321" i="10"/>
  <c r="S321" i="10"/>
  <c r="S320" i="10" s="1"/>
  <c r="R321" i="10"/>
  <c r="Q321" i="10"/>
  <c r="O321" i="10"/>
  <c r="N321" i="10"/>
  <c r="M321" i="10"/>
  <c r="L321" i="10"/>
  <c r="T320" i="10"/>
  <c r="Q320" i="10"/>
  <c r="J319" i="10"/>
  <c r="I314" i="10"/>
  <c r="U311" i="10"/>
  <c r="T311" i="10"/>
  <c r="N311" i="10"/>
  <c r="N309" i="10" s="1"/>
  <c r="M311" i="10"/>
  <c r="L311" i="10"/>
  <c r="O311" i="10" s="1"/>
  <c r="U310" i="10"/>
  <c r="T310" i="10"/>
  <c r="P310" i="10"/>
  <c r="O310" i="10"/>
  <c r="U309" i="10"/>
  <c r="T309" i="10"/>
  <c r="S309" i="10"/>
  <c r="R309" i="10"/>
  <c r="Q309" i="10"/>
  <c r="S308" i="10"/>
  <c r="R308" i="10"/>
  <c r="Q308" i="10"/>
  <c r="Q305" i="10" s="1"/>
  <c r="T305" i="10" s="1"/>
  <c r="N308" i="10"/>
  <c r="N306" i="10" s="1"/>
  <c r="M308" i="10"/>
  <c r="L308" i="10"/>
  <c r="O308" i="10" s="1"/>
  <c r="U307" i="10"/>
  <c r="T307" i="10"/>
  <c r="P307" i="10"/>
  <c r="O307" i="10"/>
  <c r="S304" i="10"/>
  <c r="R304" i="10"/>
  <c r="Q304" i="10"/>
  <c r="P304" i="10"/>
  <c r="N304" i="10"/>
  <c r="M304" i="10"/>
  <c r="L304" i="10"/>
  <c r="J302" i="10"/>
  <c r="I296" i="10"/>
  <c r="K296" i="10" s="1"/>
  <c r="I295" i="10"/>
  <c r="K295" i="10" s="1"/>
  <c r="J293" i="10"/>
  <c r="I293" i="10"/>
  <c r="I280" i="10" s="1"/>
  <c r="K280" i="10" s="1"/>
  <c r="I292" i="10"/>
  <c r="K292" i="10" s="1"/>
  <c r="U290" i="10"/>
  <c r="T290" i="10"/>
  <c r="N290" i="10"/>
  <c r="N288" i="10" s="1"/>
  <c r="M290" i="10"/>
  <c r="L290" i="10"/>
  <c r="O290" i="10" s="1"/>
  <c r="U289" i="10"/>
  <c r="T289" i="10"/>
  <c r="P289" i="10"/>
  <c r="O289" i="10"/>
  <c r="U288" i="10"/>
  <c r="S288" i="10"/>
  <c r="R288" i="10"/>
  <c r="Q288" i="10"/>
  <c r="T288" i="10" s="1"/>
  <c r="U287" i="10"/>
  <c r="T287" i="10"/>
  <c r="N287" i="10"/>
  <c r="M287" i="10"/>
  <c r="P287" i="10" s="1"/>
  <c r="L287" i="10"/>
  <c r="U286" i="10"/>
  <c r="T286" i="10"/>
  <c r="P286" i="10"/>
  <c r="O286" i="10"/>
  <c r="T285" i="10"/>
  <c r="S285" i="10"/>
  <c r="R285" i="10"/>
  <c r="U285" i="10" s="1"/>
  <c r="Q285" i="10"/>
  <c r="T284" i="10"/>
  <c r="S284" i="10"/>
  <c r="R284" i="10"/>
  <c r="U284" i="10" s="1"/>
  <c r="Q284" i="10"/>
  <c r="U283" i="10"/>
  <c r="S283" i="10"/>
  <c r="R283" i="10"/>
  <c r="Q283" i="10"/>
  <c r="P283" i="10"/>
  <c r="O283" i="10"/>
  <c r="N283" i="10"/>
  <c r="M283" i="10"/>
  <c r="L283" i="10"/>
  <c r="S282" i="10"/>
  <c r="R282" i="10"/>
  <c r="U282" i="10" s="1"/>
  <c r="J281" i="10"/>
  <c r="J280" i="10"/>
  <c r="I276" i="10"/>
  <c r="K276" i="10" s="1"/>
  <c r="U274" i="10"/>
  <c r="T274" i="10"/>
  <c r="N274" i="10"/>
  <c r="M274" i="10"/>
  <c r="L274" i="10"/>
  <c r="L272" i="10" s="1"/>
  <c r="O272" i="10" s="1"/>
  <c r="U273" i="10"/>
  <c r="T273" i="10"/>
  <c r="P273" i="10"/>
  <c r="O273" i="10"/>
  <c r="S272" i="10"/>
  <c r="R272" i="10"/>
  <c r="U272" i="10" s="1"/>
  <c r="Q272" i="10"/>
  <c r="T272" i="10" s="1"/>
  <c r="S271" i="10"/>
  <c r="S269" i="10" s="1"/>
  <c r="R271" i="10"/>
  <c r="R269" i="10" s="1"/>
  <c r="Q271" i="10"/>
  <c r="Q268" i="10" s="1"/>
  <c r="N271" i="10"/>
  <c r="N269" i="10" s="1"/>
  <c r="M271" i="10"/>
  <c r="L271" i="10"/>
  <c r="U270" i="10"/>
  <c r="T270" i="10"/>
  <c r="P270" i="10"/>
  <c r="O270" i="10"/>
  <c r="U267" i="10"/>
  <c r="S267" i="10"/>
  <c r="R267" i="10"/>
  <c r="Q267" i="10"/>
  <c r="P267" i="10"/>
  <c r="O267" i="10"/>
  <c r="N267" i="10"/>
  <c r="M267" i="10"/>
  <c r="L267" i="10"/>
  <c r="J265" i="10"/>
  <c r="K263" i="10"/>
  <c r="K262" i="10"/>
  <c r="I260" i="10"/>
  <c r="K260" i="10" s="1"/>
  <c r="L258" i="10"/>
  <c r="L257" i="10"/>
  <c r="L256" i="10"/>
  <c r="L255" i="10"/>
  <c r="P254" i="10"/>
  <c r="N254" i="10"/>
  <c r="J253" i="10"/>
  <c r="K252" i="10"/>
  <c r="K251" i="10"/>
  <c r="I249" i="10"/>
  <c r="L247" i="10"/>
  <c r="L246" i="10"/>
  <c r="L245" i="10"/>
  <c r="L244" i="10"/>
  <c r="P243" i="10"/>
  <c r="N243" i="10"/>
  <c r="J242" i="10"/>
  <c r="J241" i="10"/>
  <c r="I241" i="10"/>
  <c r="K241" i="10" s="1"/>
  <c r="K240" i="10"/>
  <c r="J240" i="10"/>
  <c r="I240" i="10"/>
  <c r="J238" i="10"/>
  <c r="N236" i="10"/>
  <c r="N235" i="10"/>
  <c r="N234" i="10"/>
  <c r="N233" i="10"/>
  <c r="N232" i="10"/>
  <c r="J231" i="10"/>
  <c r="I230" i="10"/>
  <c r="K230" i="10" s="1"/>
  <c r="I229" i="10"/>
  <c r="I221" i="10" s="1"/>
  <c r="K221" i="10" s="1"/>
  <c r="I228" i="10"/>
  <c r="K228" i="10" s="1"/>
  <c r="L225" i="10"/>
  <c r="L224" i="10"/>
  <c r="L223" i="10"/>
  <c r="P222" i="10"/>
  <c r="N222" i="10"/>
  <c r="J221" i="10"/>
  <c r="I220" i="10"/>
  <c r="K220" i="10" s="1"/>
  <c r="I219" i="10"/>
  <c r="K219" i="10" s="1"/>
  <c r="Q217" i="10"/>
  <c r="Q214" i="10" s="1"/>
  <c r="T214" i="10" s="1"/>
  <c r="L217" i="10"/>
  <c r="L216" i="10"/>
  <c r="L215" i="10"/>
  <c r="U214" i="10"/>
  <c r="S214" i="10"/>
  <c r="P214" i="10"/>
  <c r="N214" i="10"/>
  <c r="J213" i="10"/>
  <c r="I212" i="10"/>
  <c r="K212" i="10" s="1"/>
  <c r="I211" i="10"/>
  <c r="K211" i="10" s="1"/>
  <c r="I209" i="10"/>
  <c r="L207" i="10"/>
  <c r="Q206" i="10"/>
  <c r="Q203" i="10" s="1"/>
  <c r="T203" i="10" s="1"/>
  <c r="L206" i="10"/>
  <c r="L205" i="10"/>
  <c r="L204" i="10"/>
  <c r="U203" i="10"/>
  <c r="S203" i="10"/>
  <c r="P203" i="10"/>
  <c r="N203" i="10"/>
  <c r="J202" i="10"/>
  <c r="J199" i="10"/>
  <c r="I198" i="10"/>
  <c r="K198" i="10" s="1"/>
  <c r="P196" i="10"/>
  <c r="L196" i="10"/>
  <c r="O196" i="10" s="1"/>
  <c r="J195" i="10"/>
  <c r="S194" i="10"/>
  <c r="S192" i="10" s="1"/>
  <c r="R194" i="10"/>
  <c r="U194" i="10" s="1"/>
  <c r="Q194" i="10"/>
  <c r="N194" i="10"/>
  <c r="N192" i="10" s="1"/>
  <c r="M194" i="10"/>
  <c r="P194" i="10" s="1"/>
  <c r="L194" i="10"/>
  <c r="O194" i="10" s="1"/>
  <c r="U193" i="10"/>
  <c r="T193" i="10"/>
  <c r="P193" i="10"/>
  <c r="O193" i="10"/>
  <c r="S191" i="10"/>
  <c r="R191" i="10"/>
  <c r="U191" i="10" s="1"/>
  <c r="Q191" i="10"/>
  <c r="N191" i="10"/>
  <c r="N189" i="10" s="1"/>
  <c r="M191" i="10"/>
  <c r="M189" i="10" s="1"/>
  <c r="L191" i="10"/>
  <c r="U190" i="10"/>
  <c r="T190" i="10"/>
  <c r="P190" i="10"/>
  <c r="O190" i="10"/>
  <c r="U187" i="10"/>
  <c r="T187" i="10"/>
  <c r="S187" i="10"/>
  <c r="R187" i="10"/>
  <c r="Q187" i="10"/>
  <c r="P187" i="10"/>
  <c r="O187" i="10"/>
  <c r="N187" i="10"/>
  <c r="M187" i="10"/>
  <c r="L187" i="10"/>
  <c r="J185" i="10"/>
  <c r="K184" i="10"/>
  <c r="I183" i="10"/>
  <c r="K183" i="10" s="1"/>
  <c r="U181" i="10"/>
  <c r="T181" i="10"/>
  <c r="N181" i="10"/>
  <c r="N179" i="10" s="1"/>
  <c r="M181" i="10"/>
  <c r="P181" i="10" s="1"/>
  <c r="L181" i="10"/>
  <c r="O181" i="10" s="1"/>
  <c r="U180" i="10"/>
  <c r="T180" i="10"/>
  <c r="P180" i="10"/>
  <c r="O180" i="10"/>
  <c r="U179" i="10"/>
  <c r="S179" i="10"/>
  <c r="R179" i="10"/>
  <c r="Q179" i="10"/>
  <c r="T179" i="10" s="1"/>
  <c r="S178" i="10"/>
  <c r="S176" i="10" s="1"/>
  <c r="R178" i="10"/>
  <c r="R176" i="10" s="1"/>
  <c r="U176" i="10" s="1"/>
  <c r="Q178" i="10"/>
  <c r="Q175" i="10" s="1"/>
  <c r="T175" i="10" s="1"/>
  <c r="N178" i="10"/>
  <c r="N176" i="10" s="1"/>
  <c r="M178" i="10"/>
  <c r="L178" i="10"/>
  <c r="O178" i="10" s="1"/>
  <c r="U177" i="10"/>
  <c r="T177" i="10"/>
  <c r="P177" i="10"/>
  <c r="O177" i="10"/>
  <c r="U174" i="10"/>
  <c r="S174" i="10"/>
  <c r="R174" i="10"/>
  <c r="Q174" i="10"/>
  <c r="O174" i="10"/>
  <c r="N174" i="10"/>
  <c r="M174" i="10"/>
  <c r="P174" i="10" s="1"/>
  <c r="L174" i="10"/>
  <c r="J172" i="10"/>
  <c r="I169" i="10"/>
  <c r="K169" i="10" s="1"/>
  <c r="I168" i="10"/>
  <c r="K168" i="10" s="1"/>
  <c r="I167" i="10"/>
  <c r="K167" i="10" s="1"/>
  <c r="U165" i="10"/>
  <c r="T165" i="10"/>
  <c r="N165" i="10"/>
  <c r="N163" i="10" s="1"/>
  <c r="M165" i="10"/>
  <c r="L165" i="10"/>
  <c r="U164" i="10"/>
  <c r="T164" i="10"/>
  <c r="P164" i="10"/>
  <c r="O164" i="10"/>
  <c r="U163" i="10"/>
  <c r="S163" i="10"/>
  <c r="R163" i="10"/>
  <c r="Q163" i="10"/>
  <c r="T163" i="10" s="1"/>
  <c r="S162" i="10"/>
  <c r="S160" i="10" s="1"/>
  <c r="R162" i="10"/>
  <c r="U162" i="10" s="1"/>
  <c r="Q162" i="10"/>
  <c r="Q160" i="10" s="1"/>
  <c r="T160" i="10" s="1"/>
  <c r="N162" i="10"/>
  <c r="N160" i="10" s="1"/>
  <c r="M162" i="10"/>
  <c r="L162" i="10"/>
  <c r="O162" i="10" s="1"/>
  <c r="U161" i="10"/>
  <c r="T161" i="10"/>
  <c r="P161" i="10"/>
  <c r="O161" i="10"/>
  <c r="U158" i="10"/>
  <c r="S158" i="10"/>
  <c r="R158" i="10"/>
  <c r="Q158" i="10"/>
  <c r="N158" i="10"/>
  <c r="M158" i="10"/>
  <c r="P158" i="10" s="1"/>
  <c r="L158" i="10"/>
  <c r="O158" i="10" s="1"/>
  <c r="J156" i="10"/>
  <c r="I154" i="10"/>
  <c r="I153" i="10"/>
  <c r="I152" i="10"/>
  <c r="K152" i="10" s="1"/>
  <c r="I151" i="10"/>
  <c r="K151" i="10" s="1"/>
  <c r="I150" i="10"/>
  <c r="K150" i="10" s="1"/>
  <c r="S147" i="10"/>
  <c r="S145" i="10" s="1"/>
  <c r="R147" i="10"/>
  <c r="R145" i="10" s="1"/>
  <c r="U145" i="10" s="1"/>
  <c r="Q147" i="10"/>
  <c r="Q145" i="10" s="1"/>
  <c r="T145" i="10" s="1"/>
  <c r="N147" i="10"/>
  <c r="N145" i="10" s="1"/>
  <c r="M147" i="10"/>
  <c r="M145" i="10" s="1"/>
  <c r="P145" i="10" s="1"/>
  <c r="L147" i="10"/>
  <c r="U146" i="10"/>
  <c r="T146" i="10"/>
  <c r="P146" i="10"/>
  <c r="O146" i="10"/>
  <c r="S144" i="10"/>
  <c r="S142" i="10" s="1"/>
  <c r="R144" i="10"/>
  <c r="U144" i="10" s="1"/>
  <c r="Q144" i="10"/>
  <c r="Q142" i="10" s="1"/>
  <c r="T142" i="10" s="1"/>
  <c r="N144" i="10"/>
  <c r="M144" i="10"/>
  <c r="M142" i="10" s="1"/>
  <c r="P142" i="10" s="1"/>
  <c r="L144" i="10"/>
  <c r="L142" i="10" s="1"/>
  <c r="O142" i="10" s="1"/>
  <c r="U143" i="10"/>
  <c r="T143" i="10"/>
  <c r="P143" i="10"/>
  <c r="O143" i="10"/>
  <c r="T140" i="10"/>
  <c r="S140" i="10"/>
  <c r="R140" i="10"/>
  <c r="Q140" i="10"/>
  <c r="N140" i="10"/>
  <c r="M140" i="10"/>
  <c r="P140" i="10" s="1"/>
  <c r="L140" i="10"/>
  <c r="O140" i="10" s="1"/>
  <c r="J138" i="10"/>
  <c r="J137" i="10"/>
  <c r="J136" i="10"/>
  <c r="I130" i="10"/>
  <c r="K130" i="10" s="1"/>
  <c r="I129" i="10"/>
  <c r="K129" i="10" s="1"/>
  <c r="I128" i="10"/>
  <c r="K128" i="10" s="1"/>
  <c r="I127" i="10"/>
  <c r="I116" i="10" s="1"/>
  <c r="K116" i="10" s="1"/>
  <c r="S125" i="10"/>
  <c r="R125" i="10"/>
  <c r="U125" i="10" s="1"/>
  <c r="Q125" i="10"/>
  <c r="N125" i="10"/>
  <c r="N123" i="10" s="1"/>
  <c r="M125" i="10"/>
  <c r="L125" i="10"/>
  <c r="O125" i="10" s="1"/>
  <c r="U124" i="10"/>
  <c r="T124" i="10"/>
  <c r="P124" i="10"/>
  <c r="O124" i="10"/>
  <c r="S122" i="10"/>
  <c r="S120" i="10" s="1"/>
  <c r="R122" i="10"/>
  <c r="Q122" i="10"/>
  <c r="Q120" i="10" s="1"/>
  <c r="N122" i="10"/>
  <c r="M122" i="10"/>
  <c r="P122" i="10" s="1"/>
  <c r="L122" i="10"/>
  <c r="O122" i="10" s="1"/>
  <c r="U121" i="10"/>
  <c r="T121" i="10"/>
  <c r="P121" i="10"/>
  <c r="O121" i="10"/>
  <c r="U118" i="10"/>
  <c r="S118" i="10"/>
  <c r="R118" i="10"/>
  <c r="Q118" i="10"/>
  <c r="T118" i="10" s="1"/>
  <c r="O118" i="10"/>
  <c r="N118" i="10"/>
  <c r="M118" i="10"/>
  <c r="L118" i="10"/>
  <c r="J116" i="10"/>
  <c r="I114" i="10"/>
  <c r="K114" i="10" s="1"/>
  <c r="I109" i="10"/>
  <c r="K109" i="10" s="1"/>
  <c r="I108" i="10"/>
  <c r="K108" i="10" s="1"/>
  <c r="U102" i="10"/>
  <c r="T102" i="10"/>
  <c r="N102" i="10"/>
  <c r="N100" i="10" s="1"/>
  <c r="M102" i="10"/>
  <c r="P102" i="10" s="1"/>
  <c r="L102" i="10"/>
  <c r="O102" i="10" s="1"/>
  <c r="U101" i="10"/>
  <c r="T101" i="10"/>
  <c r="P101" i="10"/>
  <c r="O101" i="10"/>
  <c r="U100" i="10"/>
  <c r="S100" i="10"/>
  <c r="R100" i="10"/>
  <c r="Q100" i="10"/>
  <c r="T100" i="10" s="1"/>
  <c r="S99" i="10"/>
  <c r="S96" i="10" s="1"/>
  <c r="R99" i="10"/>
  <c r="U99" i="10" s="1"/>
  <c r="Q99" i="10"/>
  <c r="T99" i="10" s="1"/>
  <c r="N99" i="10"/>
  <c r="N97" i="10" s="1"/>
  <c r="M99" i="10"/>
  <c r="L99" i="10"/>
  <c r="U98" i="10"/>
  <c r="T98" i="10"/>
  <c r="P98" i="10"/>
  <c r="O98" i="10"/>
  <c r="T95" i="10"/>
  <c r="S95" i="10"/>
  <c r="R95" i="10"/>
  <c r="Q95" i="10"/>
  <c r="N95" i="10"/>
  <c r="M95" i="10"/>
  <c r="P95" i="10" s="1"/>
  <c r="L95" i="10"/>
  <c r="J93" i="10"/>
  <c r="J92" i="10"/>
  <c r="I90" i="10"/>
  <c r="K90" i="10" s="1"/>
  <c r="I89" i="10"/>
  <c r="K89" i="10" s="1"/>
  <c r="I88" i="10"/>
  <c r="I87" i="10"/>
  <c r="K87" i="10" s="1"/>
  <c r="I86" i="10"/>
  <c r="K86" i="10" s="1"/>
  <c r="I85" i="10"/>
  <c r="K85" i="10" s="1"/>
  <c r="I84" i="10"/>
  <c r="K84" i="10" s="1"/>
  <c r="J83" i="10"/>
  <c r="J82" i="10"/>
  <c r="S80" i="10"/>
  <c r="S78" i="10" s="1"/>
  <c r="R80" i="10"/>
  <c r="R78" i="10" s="1"/>
  <c r="U78" i="10" s="1"/>
  <c r="Q80" i="10"/>
  <c r="N80" i="10"/>
  <c r="N78" i="10" s="1"/>
  <c r="M80" i="10"/>
  <c r="P80" i="10" s="1"/>
  <c r="L80" i="10"/>
  <c r="U79" i="10"/>
  <c r="T79" i="10"/>
  <c r="P79" i="10"/>
  <c r="O79" i="10"/>
  <c r="S77" i="10"/>
  <c r="R77" i="10"/>
  <c r="R75" i="10" s="1"/>
  <c r="U75" i="10" s="1"/>
  <c r="Q77" i="10"/>
  <c r="Q75" i="10" s="1"/>
  <c r="T75" i="10" s="1"/>
  <c r="N77" i="10"/>
  <c r="M77" i="10"/>
  <c r="P77" i="10" s="1"/>
  <c r="L77" i="10"/>
  <c r="U76" i="10"/>
  <c r="T76" i="10"/>
  <c r="P76" i="10"/>
  <c r="O76" i="10"/>
  <c r="U73" i="10"/>
  <c r="S73" i="10"/>
  <c r="R73" i="10"/>
  <c r="Q73" i="10"/>
  <c r="O73" i="10"/>
  <c r="N73" i="10"/>
  <c r="M73" i="10"/>
  <c r="L73" i="10"/>
  <c r="J71" i="10"/>
  <c r="J70" i="10"/>
  <c r="U67" i="10"/>
  <c r="T67" i="10"/>
  <c r="N67" i="10"/>
  <c r="M67" i="10"/>
  <c r="M65" i="10" s="1"/>
  <c r="L67" i="10"/>
  <c r="L65" i="10" s="1"/>
  <c r="U66" i="10"/>
  <c r="T66" i="10"/>
  <c r="P66" i="10"/>
  <c r="O66" i="10"/>
  <c r="S65" i="10"/>
  <c r="R65" i="10"/>
  <c r="U65" i="10" s="1"/>
  <c r="Q65" i="10"/>
  <c r="T65" i="10" s="1"/>
  <c r="U64" i="10"/>
  <c r="T64" i="10"/>
  <c r="N64" i="10"/>
  <c r="M64" i="10"/>
  <c r="L64" i="10"/>
  <c r="U63" i="10"/>
  <c r="T63" i="10"/>
  <c r="P63" i="10"/>
  <c r="O63" i="10"/>
  <c r="U62" i="10"/>
  <c r="T62" i="10"/>
  <c r="S62" i="10"/>
  <c r="R62" i="10"/>
  <c r="Q62" i="10"/>
  <c r="N62" i="10"/>
  <c r="M62" i="10"/>
  <c r="S61" i="10"/>
  <c r="R61" i="10"/>
  <c r="U61" i="10" s="1"/>
  <c r="Q61" i="10"/>
  <c r="T61" i="10" s="1"/>
  <c r="U60" i="10"/>
  <c r="T60" i="10"/>
  <c r="S60" i="10"/>
  <c r="S59" i="10" s="1"/>
  <c r="R60" i="10"/>
  <c r="Q60" i="10"/>
  <c r="O60" i="10"/>
  <c r="N60" i="10"/>
  <c r="M60" i="10"/>
  <c r="L60" i="10"/>
  <c r="R59" i="10"/>
  <c r="U59" i="10" s="1"/>
  <c r="Q59" i="10"/>
  <c r="T59" i="10" s="1"/>
  <c r="U52" i="10"/>
  <c r="T52" i="10"/>
  <c r="N52" i="10"/>
  <c r="M52" i="10"/>
  <c r="M50" i="10" s="1"/>
  <c r="P50" i="10" s="1"/>
  <c r="L52" i="10"/>
  <c r="O52" i="10" s="1"/>
  <c r="U51" i="10"/>
  <c r="T51" i="10"/>
  <c r="P51" i="10"/>
  <c r="O51" i="10"/>
  <c r="T50" i="10"/>
  <c r="S50" i="10"/>
  <c r="R50" i="10"/>
  <c r="U50" i="10" s="1"/>
  <c r="Q50" i="10"/>
  <c r="U49" i="10"/>
  <c r="T49" i="10"/>
  <c r="N49" i="10"/>
  <c r="N47" i="10" s="1"/>
  <c r="M49" i="10"/>
  <c r="M47" i="10" s="1"/>
  <c r="L49" i="10"/>
  <c r="L47" i="10" s="1"/>
  <c r="U48" i="10"/>
  <c r="T48" i="10"/>
  <c r="P48" i="10"/>
  <c r="O48" i="10"/>
  <c r="U47" i="10"/>
  <c r="S47" i="10"/>
  <c r="R47" i="10"/>
  <c r="Q47" i="10"/>
  <c r="T47" i="10" s="1"/>
  <c r="S46" i="10"/>
  <c r="R46" i="10"/>
  <c r="U46" i="10" s="1"/>
  <c r="Q46" i="10"/>
  <c r="T46" i="10" s="1"/>
  <c r="U45" i="10"/>
  <c r="T45" i="10"/>
  <c r="S45" i="10"/>
  <c r="S44" i="10" s="1"/>
  <c r="R45" i="10"/>
  <c r="Q45" i="10"/>
  <c r="O45" i="10"/>
  <c r="N45" i="10"/>
  <c r="M45" i="10"/>
  <c r="P45" i="10" s="1"/>
  <c r="L45" i="10"/>
  <c r="S25" i="10"/>
  <c r="R25" i="10"/>
  <c r="Q25" i="10"/>
  <c r="P25" i="10"/>
  <c r="N25" i="10"/>
  <c r="M25" i="10"/>
  <c r="L25" i="10"/>
  <c r="S22" i="10"/>
  <c r="R22" i="10"/>
  <c r="Q22" i="10"/>
  <c r="P22" i="10"/>
  <c r="N22" i="10"/>
  <c r="M22" i="10"/>
  <c r="L22" i="10"/>
  <c r="S19" i="10"/>
  <c r="P19" i="10"/>
  <c r="N19" i="10"/>
  <c r="M19" i="10"/>
  <c r="A789" i="9"/>
  <c r="A788" i="9"/>
  <c r="J785" i="9"/>
  <c r="I785" i="9"/>
  <c r="J784" i="9"/>
  <c r="I784" i="9"/>
  <c r="J783" i="9"/>
  <c r="I783" i="9"/>
  <c r="K783" i="9" s="1"/>
  <c r="J782" i="9"/>
  <c r="I782" i="9"/>
  <c r="K782" i="9" s="1"/>
  <c r="J781" i="9"/>
  <c r="I781" i="9"/>
  <c r="J780" i="9"/>
  <c r="I780" i="9"/>
  <c r="J779" i="9"/>
  <c r="I779" i="9"/>
  <c r="J778" i="9"/>
  <c r="I778" i="9"/>
  <c r="H777" i="9"/>
  <c r="I776" i="9"/>
  <c r="I775" i="9"/>
  <c r="I774" i="9"/>
  <c r="I759" i="9" s="1"/>
  <c r="K759" i="9" s="1"/>
  <c r="I772" i="9"/>
  <c r="K772" i="9" s="1"/>
  <c r="I770" i="9"/>
  <c r="K770" i="9" s="1"/>
  <c r="U768" i="9"/>
  <c r="T768" i="9"/>
  <c r="P768" i="9"/>
  <c r="O768" i="9"/>
  <c r="U767" i="9"/>
  <c r="T767" i="9"/>
  <c r="P767" i="9"/>
  <c r="O767" i="9"/>
  <c r="U766" i="9"/>
  <c r="S766" i="9"/>
  <c r="R766" i="9"/>
  <c r="Q766" i="9"/>
  <c r="T766" i="9" s="1"/>
  <c r="O766" i="9"/>
  <c r="N766" i="9"/>
  <c r="M766" i="9"/>
  <c r="P766" i="9" s="1"/>
  <c r="L766" i="9"/>
  <c r="S765" i="9"/>
  <c r="S763" i="9" s="1"/>
  <c r="R765" i="9"/>
  <c r="Q765" i="9"/>
  <c r="P765" i="9"/>
  <c r="O765" i="9"/>
  <c r="U764" i="9"/>
  <c r="T764" i="9"/>
  <c r="P764" i="9"/>
  <c r="O764" i="9"/>
  <c r="P763" i="9"/>
  <c r="N763" i="9"/>
  <c r="M763" i="9"/>
  <c r="L763" i="9"/>
  <c r="O763" i="9" s="1"/>
  <c r="R762" i="9"/>
  <c r="P762" i="9"/>
  <c r="N762" i="9"/>
  <c r="M762" i="9"/>
  <c r="L762" i="9"/>
  <c r="T761" i="9"/>
  <c r="S761" i="9"/>
  <c r="R761" i="9"/>
  <c r="U761" i="9" s="1"/>
  <c r="Q761" i="9"/>
  <c r="P761" i="9"/>
  <c r="N761" i="9"/>
  <c r="M761" i="9"/>
  <c r="M760" i="9" s="1"/>
  <c r="P760" i="9" s="1"/>
  <c r="L761" i="9"/>
  <c r="O761" i="9" s="1"/>
  <c r="N760" i="9"/>
  <c r="J759" i="9"/>
  <c r="J758" i="9"/>
  <c r="I755" i="9"/>
  <c r="K755" i="9" s="1"/>
  <c r="I752" i="9"/>
  <c r="K752" i="9" s="1"/>
  <c r="I749" i="9"/>
  <c r="K749" i="9" s="1"/>
  <c r="I746" i="9"/>
  <c r="K746" i="9" s="1"/>
  <c r="I744" i="9"/>
  <c r="K744" i="9" s="1"/>
  <c r="I742" i="9"/>
  <c r="K742" i="9" s="1"/>
  <c r="I740" i="9"/>
  <c r="K740" i="9" s="1"/>
  <c r="U736" i="9"/>
  <c r="T736" i="9"/>
  <c r="P736" i="9"/>
  <c r="O736" i="9"/>
  <c r="U735" i="9"/>
  <c r="T735" i="9"/>
  <c r="P735" i="9"/>
  <c r="O735" i="9"/>
  <c r="T734" i="9"/>
  <c r="S734" i="9"/>
  <c r="R734" i="9"/>
  <c r="U734" i="9" s="1"/>
  <c r="Q734" i="9"/>
  <c r="P734" i="9"/>
  <c r="N734" i="9"/>
  <c r="M734" i="9"/>
  <c r="L734" i="9"/>
  <c r="O734" i="9" s="1"/>
  <c r="S733" i="9"/>
  <c r="S731" i="9" s="1"/>
  <c r="R733" i="9"/>
  <c r="R731" i="9" s="1"/>
  <c r="Q733" i="9"/>
  <c r="Q730" i="9" s="1"/>
  <c r="P733" i="9"/>
  <c r="O733" i="9"/>
  <c r="U732" i="9"/>
  <c r="T732" i="9"/>
  <c r="P732" i="9"/>
  <c r="O732" i="9"/>
  <c r="O731" i="9"/>
  <c r="N731" i="9"/>
  <c r="M731" i="9"/>
  <c r="P731" i="9" s="1"/>
  <c r="L731" i="9"/>
  <c r="O730" i="9"/>
  <c r="N730" i="9"/>
  <c r="M730" i="9"/>
  <c r="P730" i="9" s="1"/>
  <c r="L730" i="9"/>
  <c r="U729" i="9"/>
  <c r="S729" i="9"/>
  <c r="R729" i="9"/>
  <c r="Q729" i="9"/>
  <c r="T729" i="9" s="1"/>
  <c r="O729" i="9"/>
  <c r="N729" i="9"/>
  <c r="N728" i="9" s="1"/>
  <c r="M729" i="9"/>
  <c r="P729" i="9" s="1"/>
  <c r="L729" i="9"/>
  <c r="L728" i="9" s="1"/>
  <c r="O728" i="9" s="1"/>
  <c r="M728" i="9"/>
  <c r="P728" i="9" s="1"/>
  <c r="J727" i="9"/>
  <c r="I727" i="9"/>
  <c r="J726" i="9"/>
  <c r="I726" i="9"/>
  <c r="U722" i="9"/>
  <c r="T722" i="9"/>
  <c r="P722" i="9"/>
  <c r="O722" i="9"/>
  <c r="U721" i="9"/>
  <c r="T721" i="9"/>
  <c r="P721" i="9"/>
  <c r="O721" i="9"/>
  <c r="U720" i="9"/>
  <c r="S720" i="9"/>
  <c r="R720" i="9"/>
  <c r="Q720" i="9"/>
  <c r="T720" i="9" s="1"/>
  <c r="O720" i="9"/>
  <c r="N720" i="9"/>
  <c r="M720" i="9"/>
  <c r="P720" i="9" s="1"/>
  <c r="L720" i="9"/>
  <c r="U719" i="9"/>
  <c r="T719" i="9"/>
  <c r="P719" i="9"/>
  <c r="O719" i="9"/>
  <c r="U718" i="9"/>
  <c r="T718" i="9"/>
  <c r="P718" i="9"/>
  <c r="O718" i="9"/>
  <c r="U717" i="9"/>
  <c r="S717" i="9"/>
  <c r="R717" i="9"/>
  <c r="Q717" i="9"/>
  <c r="T717" i="9" s="1"/>
  <c r="O717" i="9"/>
  <c r="N717" i="9"/>
  <c r="M717" i="9"/>
  <c r="P717" i="9" s="1"/>
  <c r="L717" i="9"/>
  <c r="U716" i="9"/>
  <c r="S716" i="9"/>
  <c r="R716" i="9"/>
  <c r="Q716" i="9"/>
  <c r="O716" i="9"/>
  <c r="N716" i="9"/>
  <c r="M716" i="9"/>
  <c r="P716" i="9" s="1"/>
  <c r="L716" i="9"/>
  <c r="U715" i="9"/>
  <c r="S715" i="9"/>
  <c r="R715" i="9"/>
  <c r="R714" i="9" s="1"/>
  <c r="U714" i="9" s="1"/>
  <c r="Q715" i="9"/>
  <c r="T715" i="9" s="1"/>
  <c r="O715" i="9"/>
  <c r="N715" i="9"/>
  <c r="N714" i="9" s="1"/>
  <c r="M715" i="9"/>
  <c r="P715" i="9" s="1"/>
  <c r="L715" i="9"/>
  <c r="L714" i="9" s="1"/>
  <c r="O714" i="9" s="1"/>
  <c r="S714" i="9"/>
  <c r="M714" i="9"/>
  <c r="P714" i="9" s="1"/>
  <c r="K712" i="9"/>
  <c r="J712" i="9"/>
  <c r="K710" i="9"/>
  <c r="J710" i="9"/>
  <c r="J709" i="9"/>
  <c r="I709" i="9"/>
  <c r="K708" i="9"/>
  <c r="J708" i="9"/>
  <c r="J707" i="9"/>
  <c r="I707" i="9"/>
  <c r="K707" i="9" s="1"/>
  <c r="K706" i="9"/>
  <c r="J706" i="9"/>
  <c r="J705" i="9"/>
  <c r="I705" i="9"/>
  <c r="K704" i="9"/>
  <c r="J704" i="9"/>
  <c r="J703" i="9"/>
  <c r="I703" i="9"/>
  <c r="K703" i="9" s="1"/>
  <c r="K702" i="9"/>
  <c r="I700" i="9"/>
  <c r="K700" i="9" s="1"/>
  <c r="U698" i="9"/>
  <c r="T698" i="9"/>
  <c r="P698" i="9"/>
  <c r="O698" i="9"/>
  <c r="U697" i="9"/>
  <c r="T697" i="9"/>
  <c r="P697" i="9"/>
  <c r="O697" i="9"/>
  <c r="T696" i="9"/>
  <c r="S696" i="9"/>
  <c r="R696" i="9"/>
  <c r="U696" i="9" s="1"/>
  <c r="Q696" i="9"/>
  <c r="P696" i="9"/>
  <c r="N696" i="9"/>
  <c r="M696" i="9"/>
  <c r="L696" i="9"/>
  <c r="O696" i="9" s="1"/>
  <c r="S695" i="9"/>
  <c r="R695" i="9"/>
  <c r="Q695" i="9"/>
  <c r="Q693" i="9" s="1"/>
  <c r="P695" i="9"/>
  <c r="O695" i="9"/>
  <c r="U694" i="9"/>
  <c r="T694" i="9"/>
  <c r="P694" i="9"/>
  <c r="O694" i="9"/>
  <c r="O693" i="9"/>
  <c r="N693" i="9"/>
  <c r="M693" i="9"/>
  <c r="P693" i="9" s="1"/>
  <c r="L693" i="9"/>
  <c r="O692" i="9"/>
  <c r="N692" i="9"/>
  <c r="M692" i="9"/>
  <c r="L692" i="9"/>
  <c r="U691" i="9"/>
  <c r="S691" i="9"/>
  <c r="R691" i="9"/>
  <c r="Q691" i="9"/>
  <c r="O691" i="9"/>
  <c r="N691" i="9"/>
  <c r="N690" i="9" s="1"/>
  <c r="M691" i="9"/>
  <c r="P691" i="9" s="1"/>
  <c r="L691" i="9"/>
  <c r="O690" i="9"/>
  <c r="L690" i="9"/>
  <c r="J682" i="9"/>
  <c r="I682" i="9"/>
  <c r="K682" i="9" s="1"/>
  <c r="J681" i="9"/>
  <c r="I681" i="9"/>
  <c r="K681" i="9" s="1"/>
  <c r="J680" i="9"/>
  <c r="J679" i="9"/>
  <c r="I679" i="9"/>
  <c r="K679" i="9" s="1"/>
  <c r="J678" i="9"/>
  <c r="I678" i="9"/>
  <c r="K678" i="9" s="1"/>
  <c r="J677" i="9"/>
  <c r="J676" i="9"/>
  <c r="I676" i="9"/>
  <c r="K676" i="9" s="1"/>
  <c r="I675" i="9"/>
  <c r="K675" i="9" s="1"/>
  <c r="I674" i="9"/>
  <c r="K674" i="9" s="1"/>
  <c r="J673" i="9"/>
  <c r="I673" i="9"/>
  <c r="K673" i="9" s="1"/>
  <c r="J672" i="9"/>
  <c r="J671" i="9"/>
  <c r="J661" i="9"/>
  <c r="I661" i="9"/>
  <c r="K661" i="9" s="1"/>
  <c r="I660" i="9"/>
  <c r="I657" i="9"/>
  <c r="J654" i="9"/>
  <c r="I654" i="9"/>
  <c r="K654" i="9" s="1"/>
  <c r="J653" i="9"/>
  <c r="I653" i="9"/>
  <c r="K653" i="9" s="1"/>
  <c r="J652" i="9"/>
  <c r="I652" i="9"/>
  <c r="K652" i="9" s="1"/>
  <c r="U650" i="9"/>
  <c r="T650" i="9"/>
  <c r="P650" i="9"/>
  <c r="O650" i="9"/>
  <c r="U649" i="9"/>
  <c r="T649" i="9"/>
  <c r="P649" i="9"/>
  <c r="O649" i="9"/>
  <c r="T648" i="9"/>
  <c r="S648" i="9"/>
  <c r="R648" i="9"/>
  <c r="U648" i="9" s="1"/>
  <c r="Q648" i="9"/>
  <c r="P648" i="9"/>
  <c r="N648" i="9"/>
  <c r="M648" i="9"/>
  <c r="L648" i="9"/>
  <c r="O648" i="9" s="1"/>
  <c r="S647" i="9"/>
  <c r="S644" i="9" s="1"/>
  <c r="S642" i="9" s="1"/>
  <c r="R647" i="9"/>
  <c r="U647" i="9" s="1"/>
  <c r="Q647" i="9"/>
  <c r="P647" i="9"/>
  <c r="O647" i="9"/>
  <c r="U646" i="9"/>
  <c r="T646" i="9"/>
  <c r="P646" i="9"/>
  <c r="O646" i="9"/>
  <c r="O645" i="9"/>
  <c r="N645" i="9"/>
  <c r="M645" i="9"/>
  <c r="P645" i="9" s="1"/>
  <c r="L645" i="9"/>
  <c r="O644" i="9"/>
  <c r="N644" i="9"/>
  <c r="M644" i="9"/>
  <c r="L644" i="9"/>
  <c r="U643" i="9"/>
  <c r="S643" i="9"/>
  <c r="R643" i="9"/>
  <c r="Q643" i="9"/>
  <c r="O643" i="9"/>
  <c r="N643" i="9"/>
  <c r="N642" i="9" s="1"/>
  <c r="M643" i="9"/>
  <c r="P643" i="9" s="1"/>
  <c r="L643" i="9"/>
  <c r="O642" i="9"/>
  <c r="L642" i="9"/>
  <c r="J636" i="9"/>
  <c r="J635" i="9"/>
  <c r="I635" i="9"/>
  <c r="K635" i="9" s="1"/>
  <c r="J632" i="9"/>
  <c r="I628" i="9"/>
  <c r="K628" i="9" s="1"/>
  <c r="I627" i="9"/>
  <c r="K627" i="9" s="1"/>
  <c r="J626" i="9"/>
  <c r="J615" i="9" s="1"/>
  <c r="I626" i="9"/>
  <c r="K630" i="9" s="1"/>
  <c r="U624" i="9"/>
  <c r="T624" i="9"/>
  <c r="P624" i="9"/>
  <c r="O624" i="9"/>
  <c r="U623" i="9"/>
  <c r="T623" i="9"/>
  <c r="P623" i="9"/>
  <c r="O623" i="9"/>
  <c r="U622" i="9"/>
  <c r="S622" i="9"/>
  <c r="R622" i="9"/>
  <c r="Q622" i="9"/>
  <c r="T622" i="9" s="1"/>
  <c r="O622" i="9"/>
  <c r="N622" i="9"/>
  <c r="M622" i="9"/>
  <c r="P622" i="9" s="1"/>
  <c r="L622" i="9"/>
  <c r="S621" i="9"/>
  <c r="S618" i="9" s="1"/>
  <c r="S616" i="9" s="1"/>
  <c r="R621" i="9"/>
  <c r="U621" i="9" s="1"/>
  <c r="Q621" i="9"/>
  <c r="P621" i="9"/>
  <c r="O621" i="9"/>
  <c r="U620" i="9"/>
  <c r="T620" i="9"/>
  <c r="P620" i="9"/>
  <c r="O620" i="9"/>
  <c r="P619" i="9"/>
  <c r="N619" i="9"/>
  <c r="M619" i="9"/>
  <c r="L619" i="9"/>
  <c r="O619" i="9" s="1"/>
  <c r="P618" i="9"/>
  <c r="N618" i="9"/>
  <c r="N616" i="9" s="1"/>
  <c r="M618" i="9"/>
  <c r="L618" i="9"/>
  <c r="O618" i="9" s="1"/>
  <c r="T617" i="9"/>
  <c r="S617" i="9"/>
  <c r="R617" i="9"/>
  <c r="Q617" i="9"/>
  <c r="P617" i="9"/>
  <c r="N617" i="9"/>
  <c r="M617" i="9"/>
  <c r="L617" i="9"/>
  <c r="P616" i="9"/>
  <c r="M616" i="9"/>
  <c r="S607" i="9"/>
  <c r="S605" i="9" s="1"/>
  <c r="R607" i="9"/>
  <c r="U607" i="9" s="1"/>
  <c r="Q607" i="9"/>
  <c r="N607" i="9"/>
  <c r="N605" i="9" s="1"/>
  <c r="M607" i="9"/>
  <c r="P607" i="9" s="1"/>
  <c r="L607" i="9"/>
  <c r="L605" i="9" s="1"/>
  <c r="O605" i="9" s="1"/>
  <c r="U606" i="9"/>
  <c r="T606" i="9"/>
  <c r="P606" i="9"/>
  <c r="O606" i="9"/>
  <c r="S604" i="9"/>
  <c r="R604" i="9"/>
  <c r="U604" i="9" s="1"/>
  <c r="Q604" i="9"/>
  <c r="T604" i="9" s="1"/>
  <c r="N604" i="9"/>
  <c r="M604" i="9"/>
  <c r="P604" i="9" s="1"/>
  <c r="L604" i="9"/>
  <c r="U603" i="9"/>
  <c r="T603" i="9"/>
  <c r="P603" i="9"/>
  <c r="O603" i="9"/>
  <c r="U600" i="9"/>
  <c r="S600" i="9"/>
  <c r="R600" i="9"/>
  <c r="Q600" i="9"/>
  <c r="T600" i="9" s="1"/>
  <c r="O600" i="9"/>
  <c r="N600" i="9"/>
  <c r="M600" i="9"/>
  <c r="L600" i="9"/>
  <c r="K587" i="9"/>
  <c r="K586" i="9"/>
  <c r="U584" i="9"/>
  <c r="T584" i="9"/>
  <c r="N584" i="9"/>
  <c r="M584" i="9"/>
  <c r="L584" i="9"/>
  <c r="O584" i="9" s="1"/>
  <c r="U583" i="9"/>
  <c r="T583" i="9"/>
  <c r="P583" i="9"/>
  <c r="O583" i="9"/>
  <c r="U582" i="9"/>
  <c r="T582" i="9"/>
  <c r="S582" i="9"/>
  <c r="R582" i="9"/>
  <c r="Q582" i="9"/>
  <c r="U581" i="9"/>
  <c r="T581" i="9"/>
  <c r="N581" i="9"/>
  <c r="N579" i="9" s="1"/>
  <c r="M581" i="9"/>
  <c r="L581" i="9"/>
  <c r="U580" i="9"/>
  <c r="T580" i="9"/>
  <c r="P580" i="9"/>
  <c r="O580" i="9"/>
  <c r="S579" i="9"/>
  <c r="R579" i="9"/>
  <c r="U579" i="9" s="1"/>
  <c r="Q579" i="9"/>
  <c r="T579" i="9" s="1"/>
  <c r="U578" i="9"/>
  <c r="S578" i="9"/>
  <c r="S576" i="9" s="1"/>
  <c r="R578" i="9"/>
  <c r="Q578" i="9"/>
  <c r="T578" i="9" s="1"/>
  <c r="U577" i="9"/>
  <c r="T577" i="9"/>
  <c r="S577" i="9"/>
  <c r="R577" i="9"/>
  <c r="Q577" i="9"/>
  <c r="O577" i="9"/>
  <c r="N577" i="9"/>
  <c r="M577" i="9"/>
  <c r="P577" i="9" s="1"/>
  <c r="L577" i="9"/>
  <c r="U576" i="9"/>
  <c r="R576" i="9"/>
  <c r="J575" i="9"/>
  <c r="I575" i="9"/>
  <c r="K575" i="9" s="1"/>
  <c r="U563" i="9"/>
  <c r="T563" i="9"/>
  <c r="N563" i="9"/>
  <c r="N561" i="9" s="1"/>
  <c r="M563" i="9"/>
  <c r="M561" i="9" s="1"/>
  <c r="P561" i="9" s="1"/>
  <c r="L563" i="9"/>
  <c r="O563" i="9" s="1"/>
  <c r="U562" i="9"/>
  <c r="T562" i="9"/>
  <c r="P562" i="9"/>
  <c r="O562" i="9"/>
  <c r="S561" i="9"/>
  <c r="R561" i="9"/>
  <c r="U561" i="9" s="1"/>
  <c r="Q561" i="9"/>
  <c r="T561" i="9" s="1"/>
  <c r="U560" i="9"/>
  <c r="T560" i="9"/>
  <c r="N560" i="9"/>
  <c r="M560" i="9"/>
  <c r="M558" i="9" s="1"/>
  <c r="P558" i="9" s="1"/>
  <c r="L560" i="9"/>
  <c r="O560" i="9" s="1"/>
  <c r="U559" i="9"/>
  <c r="T559" i="9"/>
  <c r="P559" i="9"/>
  <c r="O559" i="9"/>
  <c r="T558" i="9"/>
  <c r="S558" i="9"/>
  <c r="R558" i="9"/>
  <c r="U558" i="9" s="1"/>
  <c r="Q558" i="9"/>
  <c r="T557" i="9"/>
  <c r="S557" i="9"/>
  <c r="R557" i="9"/>
  <c r="U557" i="9" s="1"/>
  <c r="Q557" i="9"/>
  <c r="T556" i="9"/>
  <c r="S556" i="9"/>
  <c r="S555" i="9" s="1"/>
  <c r="R556" i="9"/>
  <c r="U556" i="9" s="1"/>
  <c r="Q556" i="9"/>
  <c r="Q555" i="9" s="1"/>
  <c r="P556" i="9"/>
  <c r="N556" i="9"/>
  <c r="M556" i="9"/>
  <c r="L556" i="9"/>
  <c r="T555" i="9"/>
  <c r="R555" i="9"/>
  <c r="U555" i="9" s="1"/>
  <c r="J554" i="9"/>
  <c r="I554" i="9"/>
  <c r="K554" i="9" s="1"/>
  <c r="U542" i="9"/>
  <c r="T542" i="9"/>
  <c r="N542" i="9"/>
  <c r="N540" i="9" s="1"/>
  <c r="M542" i="9"/>
  <c r="M540" i="9" s="1"/>
  <c r="P540" i="9" s="1"/>
  <c r="L542" i="9"/>
  <c r="L540" i="9" s="1"/>
  <c r="O540" i="9" s="1"/>
  <c r="U541" i="9"/>
  <c r="T541" i="9"/>
  <c r="P541" i="9"/>
  <c r="O541" i="9"/>
  <c r="T540" i="9"/>
  <c r="S540" i="9"/>
  <c r="R540" i="9"/>
  <c r="U540" i="9" s="1"/>
  <c r="Q540" i="9"/>
  <c r="U539" i="9"/>
  <c r="T539" i="9"/>
  <c r="N539" i="9"/>
  <c r="N537" i="9" s="1"/>
  <c r="M539" i="9"/>
  <c r="P539" i="9" s="1"/>
  <c r="L539" i="9"/>
  <c r="O539" i="9" s="1"/>
  <c r="U538" i="9"/>
  <c r="T538" i="9"/>
  <c r="P538" i="9"/>
  <c r="O538" i="9"/>
  <c r="S537" i="9"/>
  <c r="R537" i="9"/>
  <c r="U537" i="9" s="1"/>
  <c r="Q537" i="9"/>
  <c r="T537" i="9" s="1"/>
  <c r="U536" i="9"/>
  <c r="S536" i="9"/>
  <c r="R536" i="9"/>
  <c r="Q536" i="9"/>
  <c r="U535" i="9"/>
  <c r="S535" i="9"/>
  <c r="S534" i="9" s="1"/>
  <c r="R535" i="9"/>
  <c r="Q535" i="9"/>
  <c r="T535" i="9" s="1"/>
  <c r="O535" i="9"/>
  <c r="N535" i="9"/>
  <c r="M535" i="9"/>
  <c r="P535" i="9" s="1"/>
  <c r="L535" i="9"/>
  <c r="U534" i="9"/>
  <c r="R534" i="9"/>
  <c r="J533" i="9"/>
  <c r="I533" i="9"/>
  <c r="K533" i="9" s="1"/>
  <c r="K524" i="9"/>
  <c r="K523" i="9"/>
  <c r="U521" i="9"/>
  <c r="T521" i="9"/>
  <c r="N521" i="9"/>
  <c r="N519" i="9" s="1"/>
  <c r="M521" i="9"/>
  <c r="M519" i="9" s="1"/>
  <c r="P519" i="9" s="1"/>
  <c r="L521" i="9"/>
  <c r="L519" i="9" s="1"/>
  <c r="O519" i="9" s="1"/>
  <c r="U520" i="9"/>
  <c r="T520" i="9"/>
  <c r="P520" i="9"/>
  <c r="O520" i="9"/>
  <c r="U519" i="9"/>
  <c r="S519" i="9"/>
  <c r="R519" i="9"/>
  <c r="Q519" i="9"/>
  <c r="T519" i="9" s="1"/>
  <c r="U518" i="9"/>
  <c r="T518" i="9"/>
  <c r="N518" i="9"/>
  <c r="N516" i="9" s="1"/>
  <c r="M518" i="9"/>
  <c r="P518" i="9" s="1"/>
  <c r="L518" i="9"/>
  <c r="L516" i="9" s="1"/>
  <c r="O516" i="9" s="1"/>
  <c r="U517" i="9"/>
  <c r="T517" i="9"/>
  <c r="P517" i="9"/>
  <c r="O517" i="9"/>
  <c r="S516" i="9"/>
  <c r="R516" i="9"/>
  <c r="U516" i="9" s="1"/>
  <c r="Q516" i="9"/>
  <c r="T516" i="9" s="1"/>
  <c r="U515" i="9"/>
  <c r="T515" i="9"/>
  <c r="S515" i="9"/>
  <c r="R515" i="9"/>
  <c r="Q515" i="9"/>
  <c r="T514" i="9"/>
  <c r="S514" i="9"/>
  <c r="S513" i="9" s="1"/>
  <c r="R514" i="9"/>
  <c r="Q514" i="9"/>
  <c r="P514" i="9"/>
  <c r="N514" i="9"/>
  <c r="M514" i="9"/>
  <c r="L514" i="9"/>
  <c r="O514" i="9" s="1"/>
  <c r="T513" i="9"/>
  <c r="Q513" i="9"/>
  <c r="K512" i="9"/>
  <c r="J512" i="9"/>
  <c r="I512" i="9"/>
  <c r="I509" i="9"/>
  <c r="K509" i="9" s="1"/>
  <c r="K508" i="9"/>
  <c r="I507" i="9"/>
  <c r="K507" i="9" s="1"/>
  <c r="I506" i="9"/>
  <c r="K506" i="9" s="1"/>
  <c r="I505" i="9"/>
  <c r="K505" i="9" s="1"/>
  <c r="I504" i="9"/>
  <c r="K504" i="9" s="1"/>
  <c r="I503" i="9"/>
  <c r="K503" i="9" s="1"/>
  <c r="U501" i="9"/>
  <c r="T501" i="9"/>
  <c r="N501" i="9"/>
  <c r="N499" i="9" s="1"/>
  <c r="M501" i="9"/>
  <c r="P501" i="9" s="1"/>
  <c r="L501" i="9"/>
  <c r="O501" i="9" s="1"/>
  <c r="U500" i="9"/>
  <c r="T500" i="9"/>
  <c r="P500" i="9"/>
  <c r="O500" i="9"/>
  <c r="T499" i="9"/>
  <c r="S499" i="9"/>
  <c r="R499" i="9"/>
  <c r="U499" i="9" s="1"/>
  <c r="Q499" i="9"/>
  <c r="S498" i="9"/>
  <c r="R498" i="9"/>
  <c r="U498" i="9" s="1"/>
  <c r="Q498" i="9"/>
  <c r="N498" i="9"/>
  <c r="N496" i="9" s="1"/>
  <c r="M498" i="9"/>
  <c r="M496" i="9" s="1"/>
  <c r="P496" i="9" s="1"/>
  <c r="L498" i="9"/>
  <c r="O498" i="9" s="1"/>
  <c r="U497" i="9"/>
  <c r="T497" i="9"/>
  <c r="P497" i="9"/>
  <c r="O497" i="9"/>
  <c r="U494" i="9"/>
  <c r="S494" i="9"/>
  <c r="R494" i="9"/>
  <c r="Q494" i="9"/>
  <c r="P494" i="9"/>
  <c r="N494" i="9"/>
  <c r="M494" i="9"/>
  <c r="L494" i="9"/>
  <c r="K485" i="9"/>
  <c r="J485" i="9"/>
  <c r="I485" i="9"/>
  <c r="J484" i="9"/>
  <c r="I484" i="9"/>
  <c r="K484" i="9" s="1"/>
  <c r="J483" i="9"/>
  <c r="J482" i="9"/>
  <c r="K477" i="9"/>
  <c r="J477" i="9"/>
  <c r="K476" i="9"/>
  <c r="J476" i="9"/>
  <c r="K475" i="9"/>
  <c r="J475" i="9"/>
  <c r="J468" i="9"/>
  <c r="J467" i="9"/>
  <c r="J460" i="9"/>
  <c r="J458" i="9" s="1"/>
  <c r="J459" i="9"/>
  <c r="J457" i="9" s="1"/>
  <c r="J456" i="9" s="1"/>
  <c r="I458" i="9"/>
  <c r="I457" i="9"/>
  <c r="K457" i="9" s="1"/>
  <c r="J447" i="9"/>
  <c r="J446" i="9"/>
  <c r="J440" i="9" s="1"/>
  <c r="J441" i="9"/>
  <c r="I441" i="9"/>
  <c r="K441" i="9" s="1"/>
  <c r="I440" i="9"/>
  <c r="J433" i="9"/>
  <c r="I433" i="9"/>
  <c r="K433" i="9" s="1"/>
  <c r="J432" i="9"/>
  <c r="I432" i="9"/>
  <c r="K432" i="9" s="1"/>
  <c r="J425" i="9"/>
  <c r="I425" i="9"/>
  <c r="K425" i="9" s="1"/>
  <c r="J424" i="9"/>
  <c r="I424" i="9"/>
  <c r="K424" i="9" s="1"/>
  <c r="J423" i="9"/>
  <c r="J412" i="9" s="1"/>
  <c r="U421" i="9"/>
  <c r="T421" i="9"/>
  <c r="N421" i="9"/>
  <c r="N419" i="9" s="1"/>
  <c r="M421" i="9"/>
  <c r="M419" i="9" s="1"/>
  <c r="P419" i="9" s="1"/>
  <c r="L421" i="9"/>
  <c r="O421" i="9" s="1"/>
  <c r="U420" i="9"/>
  <c r="T420" i="9"/>
  <c r="P420" i="9"/>
  <c r="O420" i="9"/>
  <c r="S419" i="9"/>
  <c r="R419" i="9"/>
  <c r="U419" i="9" s="1"/>
  <c r="Q419" i="9"/>
  <c r="T419" i="9" s="1"/>
  <c r="S418" i="9"/>
  <c r="R418" i="9"/>
  <c r="Q418" i="9"/>
  <c r="Q415" i="9" s="1"/>
  <c r="Q413" i="9" s="1"/>
  <c r="N418" i="9"/>
  <c r="M418" i="9"/>
  <c r="L418" i="9"/>
  <c r="L416" i="9" s="1"/>
  <c r="U417" i="9"/>
  <c r="T417" i="9"/>
  <c r="P417" i="9"/>
  <c r="O417" i="9"/>
  <c r="U414" i="9"/>
  <c r="S414" i="9"/>
  <c r="R414" i="9"/>
  <c r="Q414" i="9"/>
  <c r="T414" i="9" s="1"/>
  <c r="O414" i="9"/>
  <c r="N414" i="9"/>
  <c r="M414" i="9"/>
  <c r="L414" i="9"/>
  <c r="U400" i="9"/>
  <c r="T400" i="9"/>
  <c r="P400" i="9"/>
  <c r="O400" i="9"/>
  <c r="U399" i="9"/>
  <c r="T399" i="9"/>
  <c r="P399" i="9"/>
  <c r="O399" i="9"/>
  <c r="T398" i="9"/>
  <c r="S398" i="9"/>
  <c r="R398" i="9"/>
  <c r="U398" i="9" s="1"/>
  <c r="Q398" i="9"/>
  <c r="P398" i="9"/>
  <c r="N398" i="9"/>
  <c r="M398" i="9"/>
  <c r="L398" i="9"/>
  <c r="O398" i="9" s="1"/>
  <c r="S397" i="9"/>
  <c r="S395" i="9" s="1"/>
  <c r="R397" i="9"/>
  <c r="R395" i="9" s="1"/>
  <c r="U395" i="9" s="1"/>
  <c r="Q397" i="9"/>
  <c r="Q394" i="9" s="1"/>
  <c r="Q392" i="9" s="1"/>
  <c r="T392" i="9" s="1"/>
  <c r="P397" i="9"/>
  <c r="O397" i="9"/>
  <c r="U396" i="9"/>
  <c r="T396" i="9"/>
  <c r="P396" i="9"/>
  <c r="O396" i="9"/>
  <c r="P395" i="9"/>
  <c r="O395" i="9"/>
  <c r="N395" i="9"/>
  <c r="M395" i="9"/>
  <c r="L395" i="9"/>
  <c r="O394" i="9"/>
  <c r="N394" i="9"/>
  <c r="M394" i="9"/>
  <c r="P394" i="9" s="1"/>
  <c r="L394" i="9"/>
  <c r="U393" i="9"/>
  <c r="S393" i="9"/>
  <c r="R393" i="9"/>
  <c r="Q393" i="9"/>
  <c r="T393" i="9" s="1"/>
  <c r="P393" i="9"/>
  <c r="N393" i="9"/>
  <c r="M393" i="9"/>
  <c r="L393" i="9"/>
  <c r="L392" i="9" s="1"/>
  <c r="O392" i="9" s="1"/>
  <c r="N392" i="9"/>
  <c r="M392" i="9"/>
  <c r="P392" i="9" s="1"/>
  <c r="K391" i="9"/>
  <c r="J391" i="9"/>
  <c r="I391" i="9"/>
  <c r="K388" i="9"/>
  <c r="K387" i="9"/>
  <c r="I386" i="9"/>
  <c r="K386" i="9" s="1"/>
  <c r="I385" i="9"/>
  <c r="K385" i="9" s="1"/>
  <c r="U383" i="9"/>
  <c r="T383" i="9"/>
  <c r="N383" i="9"/>
  <c r="N381" i="9" s="1"/>
  <c r="M383" i="9"/>
  <c r="P383" i="9" s="1"/>
  <c r="L383" i="9"/>
  <c r="U382" i="9"/>
  <c r="T382" i="9"/>
  <c r="P382" i="9"/>
  <c r="O382" i="9"/>
  <c r="U381" i="9"/>
  <c r="T381" i="9"/>
  <c r="S381" i="9"/>
  <c r="R381" i="9"/>
  <c r="Q381" i="9"/>
  <c r="S380" i="9"/>
  <c r="S378" i="9" s="1"/>
  <c r="R380" i="9"/>
  <c r="R378" i="9" s="1"/>
  <c r="U378" i="9" s="1"/>
  <c r="Q380" i="9"/>
  <c r="Q378" i="9" s="1"/>
  <c r="T378" i="9" s="1"/>
  <c r="N380" i="9"/>
  <c r="M380" i="9"/>
  <c r="P380" i="9" s="1"/>
  <c r="L380" i="9"/>
  <c r="L378" i="9" s="1"/>
  <c r="O378" i="9" s="1"/>
  <c r="U379" i="9"/>
  <c r="T379" i="9"/>
  <c r="P379" i="9"/>
  <c r="O379" i="9"/>
  <c r="S376" i="9"/>
  <c r="R376" i="9"/>
  <c r="U376" i="9" s="1"/>
  <c r="Q376" i="9"/>
  <c r="T376" i="9" s="1"/>
  <c r="O376" i="9"/>
  <c r="N376" i="9"/>
  <c r="M376" i="9"/>
  <c r="L376" i="9"/>
  <c r="J374" i="9"/>
  <c r="D373" i="9"/>
  <c r="K372" i="9"/>
  <c r="J372" i="9"/>
  <c r="J371" i="9"/>
  <c r="J365" i="9" s="1"/>
  <c r="I371" i="9"/>
  <c r="I365" i="9" s="1"/>
  <c r="K370" i="9"/>
  <c r="J370" i="9"/>
  <c r="J369" i="9"/>
  <c r="I369" i="9"/>
  <c r="J368" i="9"/>
  <c r="I368" i="9"/>
  <c r="K367" i="9"/>
  <c r="J367" i="9"/>
  <c r="U364" i="9"/>
  <c r="T364" i="9"/>
  <c r="N364" i="9"/>
  <c r="N362" i="9" s="1"/>
  <c r="M364" i="9"/>
  <c r="M362" i="9" s="1"/>
  <c r="P362" i="9" s="1"/>
  <c r="L364" i="9"/>
  <c r="U363" i="9"/>
  <c r="T363" i="9"/>
  <c r="P363" i="9"/>
  <c r="O363" i="9"/>
  <c r="U362" i="9"/>
  <c r="S362" i="9"/>
  <c r="R362" i="9"/>
  <c r="Q362" i="9"/>
  <c r="T362" i="9" s="1"/>
  <c r="U361" i="9"/>
  <c r="T361" i="9"/>
  <c r="N361" i="9"/>
  <c r="N359" i="9" s="1"/>
  <c r="M361" i="9"/>
  <c r="M359" i="9" s="1"/>
  <c r="L361" i="9"/>
  <c r="U360" i="9"/>
  <c r="T360" i="9"/>
  <c r="P360" i="9"/>
  <c r="O360" i="9"/>
  <c r="T359" i="9"/>
  <c r="S359" i="9"/>
  <c r="R359" i="9"/>
  <c r="U359" i="9" s="1"/>
  <c r="Q359" i="9"/>
  <c r="S358" i="9"/>
  <c r="R358" i="9"/>
  <c r="U358" i="9" s="1"/>
  <c r="Q358" i="9"/>
  <c r="T358" i="9" s="1"/>
  <c r="U357" i="9"/>
  <c r="T357" i="9"/>
  <c r="S357" i="9"/>
  <c r="R357" i="9"/>
  <c r="Q357" i="9"/>
  <c r="P357" i="9"/>
  <c r="O357" i="9"/>
  <c r="N357" i="9"/>
  <c r="M357" i="9"/>
  <c r="L357" i="9"/>
  <c r="T356" i="9"/>
  <c r="R356" i="9"/>
  <c r="U356" i="9" s="1"/>
  <c r="Q356" i="9"/>
  <c r="J354" i="9"/>
  <c r="J353" i="9"/>
  <c r="J352" i="9"/>
  <c r="D350" i="9"/>
  <c r="J349" i="9"/>
  <c r="J348" i="9"/>
  <c r="J347" i="9"/>
  <c r="J346" i="9"/>
  <c r="I346" i="9"/>
  <c r="K344" i="9"/>
  <c r="J344" i="9"/>
  <c r="U341" i="9"/>
  <c r="T341" i="9"/>
  <c r="N341" i="9"/>
  <c r="N339" i="9" s="1"/>
  <c r="M341" i="9"/>
  <c r="P341" i="9" s="1"/>
  <c r="L341" i="9"/>
  <c r="L339" i="9" s="1"/>
  <c r="O339" i="9" s="1"/>
  <c r="U340" i="9"/>
  <c r="T340" i="9"/>
  <c r="P340" i="9"/>
  <c r="O340" i="9"/>
  <c r="T339" i="9"/>
  <c r="S339" i="9"/>
  <c r="R339" i="9"/>
  <c r="U339" i="9" s="1"/>
  <c r="Q339" i="9"/>
  <c r="U338" i="9"/>
  <c r="T338" i="9"/>
  <c r="N338" i="9"/>
  <c r="M338" i="9"/>
  <c r="L338" i="9"/>
  <c r="U337" i="9"/>
  <c r="T337" i="9"/>
  <c r="P337" i="9"/>
  <c r="O337" i="9"/>
  <c r="U336" i="9"/>
  <c r="T336" i="9"/>
  <c r="S336" i="9"/>
  <c r="R336" i="9"/>
  <c r="Q336" i="9"/>
  <c r="T335" i="9"/>
  <c r="S335" i="9"/>
  <c r="R335" i="9"/>
  <c r="U335" i="9" s="1"/>
  <c r="Q335" i="9"/>
  <c r="S334" i="9"/>
  <c r="R334" i="9"/>
  <c r="Q334" i="9"/>
  <c r="T334" i="9" s="1"/>
  <c r="P334" i="9"/>
  <c r="N334" i="9"/>
  <c r="M334" i="9"/>
  <c r="L334" i="9"/>
  <c r="T333" i="9"/>
  <c r="S333" i="9"/>
  <c r="Q333" i="9"/>
  <c r="I332" i="9"/>
  <c r="I330" i="9"/>
  <c r="I319" i="9" s="1"/>
  <c r="K319" i="9" s="1"/>
  <c r="U328" i="9"/>
  <c r="T328" i="9"/>
  <c r="N328" i="9"/>
  <c r="N326" i="9" s="1"/>
  <c r="M328" i="9"/>
  <c r="P328" i="9" s="1"/>
  <c r="L328" i="9"/>
  <c r="O328" i="9" s="1"/>
  <c r="U327" i="9"/>
  <c r="T327" i="9"/>
  <c r="P327" i="9"/>
  <c r="O327" i="9"/>
  <c r="S326" i="9"/>
  <c r="R326" i="9"/>
  <c r="U326" i="9" s="1"/>
  <c r="Q326" i="9"/>
  <c r="T326" i="9" s="1"/>
  <c r="U325" i="9"/>
  <c r="T325" i="9"/>
  <c r="N325" i="9"/>
  <c r="N323" i="9" s="1"/>
  <c r="M325" i="9"/>
  <c r="P325" i="9" s="1"/>
  <c r="L325" i="9"/>
  <c r="O325" i="9" s="1"/>
  <c r="U324" i="9"/>
  <c r="T324" i="9"/>
  <c r="P324" i="9"/>
  <c r="O324" i="9"/>
  <c r="T323" i="9"/>
  <c r="S323" i="9"/>
  <c r="R323" i="9"/>
  <c r="U323" i="9" s="1"/>
  <c r="Q323" i="9"/>
  <c r="T322" i="9"/>
  <c r="S322" i="9"/>
  <c r="R322" i="9"/>
  <c r="U322" i="9" s="1"/>
  <c r="Q322" i="9"/>
  <c r="U321" i="9"/>
  <c r="S321" i="9"/>
  <c r="R321" i="9"/>
  <c r="Q321" i="9"/>
  <c r="Q320" i="9" s="1"/>
  <c r="T320" i="9" s="1"/>
  <c r="P321" i="9"/>
  <c r="O321" i="9"/>
  <c r="N321" i="9"/>
  <c r="M321" i="9"/>
  <c r="L321" i="9"/>
  <c r="S320" i="9"/>
  <c r="R320" i="9"/>
  <c r="U320" i="9" s="1"/>
  <c r="J319" i="9"/>
  <c r="I314" i="9"/>
  <c r="K314" i="9" s="1"/>
  <c r="U311" i="9"/>
  <c r="T311" i="9"/>
  <c r="N311" i="9"/>
  <c r="N309" i="9" s="1"/>
  <c r="M311" i="9"/>
  <c r="M309" i="9" s="1"/>
  <c r="P309" i="9" s="1"/>
  <c r="L311" i="9"/>
  <c r="O311" i="9" s="1"/>
  <c r="U310" i="9"/>
  <c r="T310" i="9"/>
  <c r="P310" i="9"/>
  <c r="O310" i="9"/>
  <c r="T309" i="9"/>
  <c r="S309" i="9"/>
  <c r="R309" i="9"/>
  <c r="U309" i="9" s="1"/>
  <c r="Q309" i="9"/>
  <c r="S308" i="9"/>
  <c r="S305" i="9" s="1"/>
  <c r="R308" i="9"/>
  <c r="R305" i="9" s="1"/>
  <c r="Q308" i="9"/>
  <c r="Q306" i="9" s="1"/>
  <c r="N308" i="9"/>
  <c r="M308" i="9"/>
  <c r="M306" i="9" s="1"/>
  <c r="L308" i="9"/>
  <c r="U307" i="9"/>
  <c r="T307" i="9"/>
  <c r="P307" i="9"/>
  <c r="O307" i="9"/>
  <c r="T304" i="9"/>
  <c r="S304" i="9"/>
  <c r="R304" i="9"/>
  <c r="U304" i="9" s="1"/>
  <c r="Q304" i="9"/>
  <c r="N304" i="9"/>
  <c r="M304" i="9"/>
  <c r="L304" i="9"/>
  <c r="O304" i="9" s="1"/>
  <c r="J302" i="9"/>
  <c r="I296" i="9"/>
  <c r="K296" i="9" s="1"/>
  <c r="I295" i="9"/>
  <c r="K295" i="9" s="1"/>
  <c r="J293" i="9"/>
  <c r="I293" i="9"/>
  <c r="K293" i="9" s="1"/>
  <c r="I292" i="9"/>
  <c r="U290" i="9"/>
  <c r="T290" i="9"/>
  <c r="N290" i="9"/>
  <c r="N288" i="9" s="1"/>
  <c r="M290" i="9"/>
  <c r="L290" i="9"/>
  <c r="U289" i="9"/>
  <c r="T289" i="9"/>
  <c r="P289" i="9"/>
  <c r="O289" i="9"/>
  <c r="U288" i="9"/>
  <c r="S288" i="9"/>
  <c r="R288" i="9"/>
  <c r="Q288" i="9"/>
  <c r="T288" i="9" s="1"/>
  <c r="U287" i="9"/>
  <c r="T287" i="9"/>
  <c r="N287" i="9"/>
  <c r="N285" i="9" s="1"/>
  <c r="M287" i="9"/>
  <c r="M285" i="9" s="1"/>
  <c r="P285" i="9" s="1"/>
  <c r="L287" i="9"/>
  <c r="U286" i="9"/>
  <c r="T286" i="9"/>
  <c r="P286" i="9"/>
  <c r="O286" i="9"/>
  <c r="T285" i="9"/>
  <c r="S285" i="9"/>
  <c r="R285" i="9"/>
  <c r="U285" i="9" s="1"/>
  <c r="Q285" i="9"/>
  <c r="U284" i="9"/>
  <c r="T284" i="9"/>
  <c r="S284" i="9"/>
  <c r="R284" i="9"/>
  <c r="Q284" i="9"/>
  <c r="T283" i="9"/>
  <c r="S283" i="9"/>
  <c r="R283" i="9"/>
  <c r="U283" i="9" s="1"/>
  <c r="Q283" i="9"/>
  <c r="P283" i="9"/>
  <c r="N283" i="9"/>
  <c r="M283" i="9"/>
  <c r="L283" i="9"/>
  <c r="O283" i="9" s="1"/>
  <c r="R282" i="9"/>
  <c r="U282" i="9" s="1"/>
  <c r="Q282" i="9"/>
  <c r="T282" i="9" s="1"/>
  <c r="J281" i="9"/>
  <c r="J280" i="9"/>
  <c r="I276" i="9"/>
  <c r="K276" i="9" s="1"/>
  <c r="U274" i="9"/>
  <c r="T274" i="9"/>
  <c r="N274" i="9"/>
  <c r="N272" i="9" s="1"/>
  <c r="M274" i="9"/>
  <c r="M272" i="9" s="1"/>
  <c r="P272" i="9" s="1"/>
  <c r="L274" i="9"/>
  <c r="L272" i="9" s="1"/>
  <c r="O272" i="9" s="1"/>
  <c r="U273" i="9"/>
  <c r="T273" i="9"/>
  <c r="P273" i="9"/>
  <c r="O273" i="9"/>
  <c r="T272" i="9"/>
  <c r="S272" i="9"/>
  <c r="R272" i="9"/>
  <c r="U272" i="9" s="1"/>
  <c r="Q272" i="9"/>
  <c r="S271" i="9"/>
  <c r="S269" i="9" s="1"/>
  <c r="R271" i="9"/>
  <c r="R269" i="9" s="1"/>
  <c r="Q271" i="9"/>
  <c r="Q269" i="9" s="1"/>
  <c r="N271" i="9"/>
  <c r="M271" i="9"/>
  <c r="L271" i="9"/>
  <c r="L269" i="9" s="1"/>
  <c r="U270" i="9"/>
  <c r="T270" i="9"/>
  <c r="P270" i="9"/>
  <c r="O270" i="9"/>
  <c r="T267" i="9"/>
  <c r="S267" i="9"/>
  <c r="R267" i="9"/>
  <c r="Q267" i="9"/>
  <c r="P267" i="9"/>
  <c r="N267" i="9"/>
  <c r="M267" i="9"/>
  <c r="L267" i="9"/>
  <c r="J265" i="9"/>
  <c r="K263" i="9"/>
  <c r="K262" i="9"/>
  <c r="I260" i="9"/>
  <c r="L258" i="9"/>
  <c r="L257" i="9"/>
  <c r="L256" i="9"/>
  <c r="L255" i="9"/>
  <c r="P254" i="9"/>
  <c r="N254" i="9"/>
  <c r="N232" i="9" s="1"/>
  <c r="J253" i="9"/>
  <c r="K252" i="9"/>
  <c r="K251" i="9"/>
  <c r="I249" i="9"/>
  <c r="K249" i="9" s="1"/>
  <c r="L247" i="9"/>
  <c r="L246" i="9"/>
  <c r="L245" i="9"/>
  <c r="L244" i="9"/>
  <c r="P243" i="9"/>
  <c r="N243" i="9"/>
  <c r="J242" i="9"/>
  <c r="J231" i="9" s="1"/>
  <c r="J185" i="9" s="1"/>
  <c r="K241" i="9"/>
  <c r="J241" i="9"/>
  <c r="I241" i="9"/>
  <c r="J240" i="9"/>
  <c r="I240" i="9"/>
  <c r="K240" i="9" s="1"/>
  <c r="J238" i="9"/>
  <c r="N236" i="9"/>
  <c r="N235" i="9"/>
  <c r="N234" i="9"/>
  <c r="N233" i="9"/>
  <c r="I230" i="9"/>
  <c r="K230" i="9" s="1"/>
  <c r="I229" i="9"/>
  <c r="I221" i="9" s="1"/>
  <c r="I228" i="9"/>
  <c r="K228" i="9" s="1"/>
  <c r="L225" i="9"/>
  <c r="L224" i="9"/>
  <c r="L223" i="9"/>
  <c r="P222" i="9"/>
  <c r="N222" i="9"/>
  <c r="J221" i="9"/>
  <c r="I220" i="9"/>
  <c r="I213" i="9" s="1"/>
  <c r="K213" i="9" s="1"/>
  <c r="I219" i="9"/>
  <c r="K219" i="9" s="1"/>
  <c r="Q217" i="9"/>
  <c r="Q214" i="9" s="1"/>
  <c r="T214" i="9" s="1"/>
  <c r="L217" i="9"/>
  <c r="L216" i="9"/>
  <c r="L215" i="9"/>
  <c r="U214" i="9"/>
  <c r="S214" i="9"/>
  <c r="P214" i="9"/>
  <c r="N214" i="9"/>
  <c r="J213" i="9"/>
  <c r="I212" i="9"/>
  <c r="K212" i="9" s="1"/>
  <c r="I211" i="9"/>
  <c r="K211" i="9" s="1"/>
  <c r="I209" i="9"/>
  <c r="K209" i="9" s="1"/>
  <c r="L207" i="9"/>
  <c r="Q206" i="9"/>
  <c r="Q203" i="9" s="1"/>
  <c r="L206" i="9"/>
  <c r="L205" i="9"/>
  <c r="L204" i="9"/>
  <c r="U203" i="9"/>
  <c r="S203" i="9"/>
  <c r="P203" i="9"/>
  <c r="N203" i="9"/>
  <c r="J202" i="9"/>
  <c r="J199" i="9"/>
  <c r="I198" i="9"/>
  <c r="I195" i="9" s="1"/>
  <c r="P196" i="9"/>
  <c r="L196" i="9"/>
  <c r="O196" i="9" s="1"/>
  <c r="J195" i="9"/>
  <c r="S194" i="9"/>
  <c r="S192" i="9" s="1"/>
  <c r="R194" i="9"/>
  <c r="Q194" i="9"/>
  <c r="T194" i="9" s="1"/>
  <c r="N194" i="9"/>
  <c r="N192" i="9" s="1"/>
  <c r="M194" i="9"/>
  <c r="P194" i="9" s="1"/>
  <c r="L194" i="9"/>
  <c r="L192" i="9" s="1"/>
  <c r="O192" i="9" s="1"/>
  <c r="U193" i="9"/>
  <c r="T193" i="9"/>
  <c r="P193" i="9"/>
  <c r="O193" i="9"/>
  <c r="S191" i="9"/>
  <c r="S189" i="9" s="1"/>
  <c r="R191" i="9"/>
  <c r="R189" i="9" s="1"/>
  <c r="Q191" i="9"/>
  <c r="N191" i="9"/>
  <c r="N189" i="9" s="1"/>
  <c r="M191" i="9"/>
  <c r="L191" i="9"/>
  <c r="U190" i="9"/>
  <c r="T190" i="9"/>
  <c r="P190" i="9"/>
  <c r="O190" i="9"/>
  <c r="U187" i="9"/>
  <c r="S187" i="9"/>
  <c r="R187" i="9"/>
  <c r="Q187" i="9"/>
  <c r="T187" i="9" s="1"/>
  <c r="O187" i="9"/>
  <c r="N187" i="9"/>
  <c r="M187" i="9"/>
  <c r="P187" i="9" s="1"/>
  <c r="L187" i="9"/>
  <c r="K184" i="9"/>
  <c r="I183" i="9"/>
  <c r="K183" i="9" s="1"/>
  <c r="U181" i="9"/>
  <c r="T181" i="9"/>
  <c r="N181" i="9"/>
  <c r="N179" i="9" s="1"/>
  <c r="M181" i="9"/>
  <c r="L181" i="9"/>
  <c r="O181" i="9" s="1"/>
  <c r="U180" i="9"/>
  <c r="T180" i="9"/>
  <c r="P180" i="9"/>
  <c r="O180" i="9"/>
  <c r="T179" i="9"/>
  <c r="S179" i="9"/>
  <c r="R179" i="9"/>
  <c r="U179" i="9" s="1"/>
  <c r="Q179" i="9"/>
  <c r="S178" i="9"/>
  <c r="R178" i="9"/>
  <c r="R175" i="9" s="1"/>
  <c r="Q178" i="9"/>
  <c r="Q176" i="9" s="1"/>
  <c r="T176" i="9" s="1"/>
  <c r="N178" i="9"/>
  <c r="M178" i="9"/>
  <c r="P178" i="9" s="1"/>
  <c r="L178" i="9"/>
  <c r="O178" i="9" s="1"/>
  <c r="U177" i="9"/>
  <c r="T177" i="9"/>
  <c r="P177" i="9"/>
  <c r="O177" i="9"/>
  <c r="U174" i="9"/>
  <c r="T174" i="9"/>
  <c r="S174" i="9"/>
  <c r="R174" i="9"/>
  <c r="Q174" i="9"/>
  <c r="P174" i="9"/>
  <c r="O174" i="9"/>
  <c r="N174" i="9"/>
  <c r="M174" i="9"/>
  <c r="L174" i="9"/>
  <c r="J172" i="9"/>
  <c r="I169" i="9"/>
  <c r="I156" i="9" s="1"/>
  <c r="K156" i="9" s="1"/>
  <c r="I168" i="9"/>
  <c r="K168" i="9" s="1"/>
  <c r="I167" i="9"/>
  <c r="K167" i="9" s="1"/>
  <c r="U165" i="9"/>
  <c r="T165" i="9"/>
  <c r="N165" i="9"/>
  <c r="M165" i="9"/>
  <c r="P165" i="9" s="1"/>
  <c r="L165" i="9"/>
  <c r="O165" i="9" s="1"/>
  <c r="U164" i="9"/>
  <c r="T164" i="9"/>
  <c r="P164" i="9"/>
  <c r="O164" i="9"/>
  <c r="T163" i="9"/>
  <c r="S163" i="9"/>
  <c r="R163" i="9"/>
  <c r="U163" i="9" s="1"/>
  <c r="Q163" i="9"/>
  <c r="S162" i="9"/>
  <c r="S160" i="9" s="1"/>
  <c r="R162" i="9"/>
  <c r="U162" i="9" s="1"/>
  <c r="Q162" i="9"/>
  <c r="Q160" i="9" s="1"/>
  <c r="T160" i="9" s="1"/>
  <c r="N162" i="9"/>
  <c r="N160" i="9" s="1"/>
  <c r="M162" i="9"/>
  <c r="P162" i="9" s="1"/>
  <c r="L162" i="9"/>
  <c r="U161" i="9"/>
  <c r="T161" i="9"/>
  <c r="P161" i="9"/>
  <c r="O161" i="9"/>
  <c r="T158" i="9"/>
  <c r="S158" i="9"/>
  <c r="R158" i="9"/>
  <c r="U158" i="9" s="1"/>
  <c r="Q158" i="9"/>
  <c r="P158" i="9"/>
  <c r="N158" i="9"/>
  <c r="M158" i="9"/>
  <c r="L158" i="9"/>
  <c r="J156" i="9"/>
  <c r="I154" i="9"/>
  <c r="K154" i="9" s="1"/>
  <c r="I153" i="9"/>
  <c r="K153" i="9" s="1"/>
  <c r="I152" i="9"/>
  <c r="K152" i="9" s="1"/>
  <c r="I151" i="9"/>
  <c r="K151" i="9" s="1"/>
  <c r="I150" i="9"/>
  <c r="K150" i="9" s="1"/>
  <c r="S147" i="9"/>
  <c r="S145" i="9" s="1"/>
  <c r="R147" i="9"/>
  <c r="R145" i="9" s="1"/>
  <c r="Q147" i="9"/>
  <c r="Q145" i="9" s="1"/>
  <c r="N147" i="9"/>
  <c r="N145" i="9" s="1"/>
  <c r="M147" i="9"/>
  <c r="P147" i="9" s="1"/>
  <c r="L147" i="9"/>
  <c r="U146" i="9"/>
  <c r="T146" i="9"/>
  <c r="P146" i="9"/>
  <c r="O146" i="9"/>
  <c r="S144" i="9"/>
  <c r="R144" i="9"/>
  <c r="R142" i="9" s="1"/>
  <c r="Q144" i="9"/>
  <c r="N144" i="9"/>
  <c r="M144" i="9"/>
  <c r="M142" i="9" s="1"/>
  <c r="L144" i="9"/>
  <c r="L142" i="9" s="1"/>
  <c r="U143" i="9"/>
  <c r="T143" i="9"/>
  <c r="P143" i="9"/>
  <c r="O143" i="9"/>
  <c r="U140" i="9"/>
  <c r="S140" i="9"/>
  <c r="R140" i="9"/>
  <c r="Q140" i="9"/>
  <c r="T140" i="9" s="1"/>
  <c r="O140" i="9"/>
  <c r="N140" i="9"/>
  <c r="M140" i="9"/>
  <c r="L140" i="9"/>
  <c r="J138" i="9"/>
  <c r="J137" i="9"/>
  <c r="J136" i="9"/>
  <c r="I130" i="9"/>
  <c r="K130" i="9" s="1"/>
  <c r="I129" i="9"/>
  <c r="K129" i="9" s="1"/>
  <c r="I128" i="9"/>
  <c r="K128" i="9" s="1"/>
  <c r="I127" i="9"/>
  <c r="I116" i="9" s="1"/>
  <c r="S125" i="9"/>
  <c r="R125" i="9"/>
  <c r="R123" i="9" s="1"/>
  <c r="Q125" i="9"/>
  <c r="Q123" i="9" s="1"/>
  <c r="N125" i="9"/>
  <c r="N123" i="9" s="1"/>
  <c r="M125" i="9"/>
  <c r="P125" i="9" s="1"/>
  <c r="L125" i="9"/>
  <c r="O125" i="9" s="1"/>
  <c r="U124" i="9"/>
  <c r="T124" i="9"/>
  <c r="P124" i="9"/>
  <c r="O124" i="9"/>
  <c r="S122" i="9"/>
  <c r="R122" i="9"/>
  <c r="Q122" i="9"/>
  <c r="N122" i="9"/>
  <c r="N120" i="9" s="1"/>
  <c r="M122" i="9"/>
  <c r="P122" i="9" s="1"/>
  <c r="L122" i="9"/>
  <c r="O122" i="9" s="1"/>
  <c r="U121" i="9"/>
  <c r="T121" i="9"/>
  <c r="P121" i="9"/>
  <c r="O121" i="9"/>
  <c r="T118" i="9"/>
  <c r="S118" i="9"/>
  <c r="R118" i="9"/>
  <c r="U118" i="9" s="1"/>
  <c r="Q118" i="9"/>
  <c r="N118" i="9"/>
  <c r="M118" i="9"/>
  <c r="P118" i="9" s="1"/>
  <c r="L118" i="9"/>
  <c r="J116" i="9"/>
  <c r="I114" i="9"/>
  <c r="K114" i="9" s="1"/>
  <c r="I113" i="9"/>
  <c r="K113" i="9" s="1"/>
  <c r="I109" i="9"/>
  <c r="I93" i="9" s="1"/>
  <c r="K93" i="9" s="1"/>
  <c r="I108" i="9"/>
  <c r="I92" i="9" s="1"/>
  <c r="K92" i="9" s="1"/>
  <c r="U102" i="9"/>
  <c r="T102" i="9"/>
  <c r="N102" i="9"/>
  <c r="N100" i="9" s="1"/>
  <c r="M102" i="9"/>
  <c r="P102" i="9" s="1"/>
  <c r="L102" i="9"/>
  <c r="O102" i="9" s="1"/>
  <c r="U101" i="9"/>
  <c r="T101" i="9"/>
  <c r="P101" i="9"/>
  <c r="O101" i="9"/>
  <c r="U100" i="9"/>
  <c r="T100" i="9"/>
  <c r="S100" i="9"/>
  <c r="R100" i="9"/>
  <c r="Q100" i="9"/>
  <c r="S99" i="9"/>
  <c r="R99" i="9"/>
  <c r="R97" i="9" s="1"/>
  <c r="Q99" i="9"/>
  <c r="Q97" i="9" s="1"/>
  <c r="N99" i="9"/>
  <c r="N97" i="9" s="1"/>
  <c r="M99" i="9"/>
  <c r="M97" i="9" s="1"/>
  <c r="L99" i="9"/>
  <c r="U98" i="9"/>
  <c r="T98" i="9"/>
  <c r="P98" i="9"/>
  <c r="O98" i="9"/>
  <c r="S95" i="9"/>
  <c r="R95" i="9"/>
  <c r="U95" i="9" s="1"/>
  <c r="Q95" i="9"/>
  <c r="P95" i="9"/>
  <c r="N95" i="9"/>
  <c r="M95" i="9"/>
  <c r="L95" i="9"/>
  <c r="O95" i="9" s="1"/>
  <c r="J93" i="9"/>
  <c r="J92" i="9"/>
  <c r="I90" i="9"/>
  <c r="K90" i="9" s="1"/>
  <c r="I89" i="9"/>
  <c r="K89" i="9" s="1"/>
  <c r="I88" i="9"/>
  <c r="K88" i="9" s="1"/>
  <c r="I87" i="9"/>
  <c r="K87" i="9" s="1"/>
  <c r="I86" i="9"/>
  <c r="K86" i="9" s="1"/>
  <c r="I85" i="9"/>
  <c r="K85" i="9" s="1"/>
  <c r="I84" i="9"/>
  <c r="K84" i="9" s="1"/>
  <c r="J83" i="9"/>
  <c r="J82" i="9"/>
  <c r="S80" i="9"/>
  <c r="S78" i="9" s="1"/>
  <c r="R80" i="9"/>
  <c r="Q80" i="9"/>
  <c r="T80" i="9" s="1"/>
  <c r="N80" i="9"/>
  <c r="N78" i="9" s="1"/>
  <c r="M80" i="9"/>
  <c r="M78" i="9" s="1"/>
  <c r="P78" i="9" s="1"/>
  <c r="L80" i="9"/>
  <c r="O80" i="9" s="1"/>
  <c r="U79" i="9"/>
  <c r="T79" i="9"/>
  <c r="P79" i="9"/>
  <c r="O79" i="9"/>
  <c r="S77" i="9"/>
  <c r="S75" i="9" s="1"/>
  <c r="R77" i="9"/>
  <c r="Q77" i="9"/>
  <c r="N77" i="9"/>
  <c r="N75" i="9" s="1"/>
  <c r="M77" i="9"/>
  <c r="M75" i="9" s="1"/>
  <c r="L77" i="9"/>
  <c r="L75" i="9" s="1"/>
  <c r="U76" i="9"/>
  <c r="T76" i="9"/>
  <c r="P76" i="9"/>
  <c r="O76" i="9"/>
  <c r="S73" i="9"/>
  <c r="R73" i="9"/>
  <c r="U73" i="9" s="1"/>
  <c r="Q73" i="9"/>
  <c r="T73" i="9" s="1"/>
  <c r="N73" i="9"/>
  <c r="M73" i="9"/>
  <c r="P73" i="9" s="1"/>
  <c r="L73" i="9"/>
  <c r="O73" i="9" s="1"/>
  <c r="J71" i="9"/>
  <c r="J70" i="9"/>
  <c r="U67" i="9"/>
  <c r="T67" i="9"/>
  <c r="N67" i="9"/>
  <c r="M67" i="9"/>
  <c r="L67" i="9"/>
  <c r="O67" i="9" s="1"/>
  <c r="U66" i="9"/>
  <c r="T66" i="9"/>
  <c r="P66" i="9"/>
  <c r="O66" i="9"/>
  <c r="U65" i="9"/>
  <c r="T65" i="9"/>
  <c r="S65" i="9"/>
  <c r="R65" i="9"/>
  <c r="Q65" i="9"/>
  <c r="N65" i="9"/>
  <c r="U64" i="9"/>
  <c r="T64" i="9"/>
  <c r="N64" i="9"/>
  <c r="N62" i="9" s="1"/>
  <c r="M64" i="9"/>
  <c r="M62" i="9" s="1"/>
  <c r="L64" i="9"/>
  <c r="L62" i="9" s="1"/>
  <c r="U63" i="9"/>
  <c r="T63" i="9"/>
  <c r="P63" i="9"/>
  <c r="O63" i="9"/>
  <c r="U62" i="9"/>
  <c r="S62" i="9"/>
  <c r="R62" i="9"/>
  <c r="Q62" i="9"/>
  <c r="T62" i="9" s="1"/>
  <c r="T61" i="9"/>
  <c r="S61" i="9"/>
  <c r="R61" i="9"/>
  <c r="U61" i="9" s="1"/>
  <c r="Q61" i="9"/>
  <c r="S60" i="9"/>
  <c r="R60" i="9"/>
  <c r="U60" i="9" s="1"/>
  <c r="Q60" i="9"/>
  <c r="T60" i="9" s="1"/>
  <c r="N60" i="9"/>
  <c r="M60" i="9"/>
  <c r="P60" i="9" s="1"/>
  <c r="L60" i="9"/>
  <c r="O60" i="9" s="1"/>
  <c r="Q59" i="9"/>
  <c r="T59" i="9" s="1"/>
  <c r="U52" i="9"/>
  <c r="T52" i="9"/>
  <c r="N52" i="9"/>
  <c r="N50" i="9" s="1"/>
  <c r="M52" i="9"/>
  <c r="P52" i="9" s="1"/>
  <c r="L52" i="9"/>
  <c r="U51" i="9"/>
  <c r="T51" i="9"/>
  <c r="P51" i="9"/>
  <c r="O51" i="9"/>
  <c r="U50" i="9"/>
  <c r="T50" i="9"/>
  <c r="S50" i="9"/>
  <c r="R50" i="9"/>
  <c r="Q50" i="9"/>
  <c r="U49" i="9"/>
  <c r="T49" i="9"/>
  <c r="N49" i="9"/>
  <c r="N47" i="9" s="1"/>
  <c r="M49" i="9"/>
  <c r="M47" i="9" s="1"/>
  <c r="L49" i="9"/>
  <c r="L47" i="9" s="1"/>
  <c r="U48" i="9"/>
  <c r="T48" i="9"/>
  <c r="P48" i="9"/>
  <c r="O48" i="9"/>
  <c r="U47" i="9"/>
  <c r="S47" i="9"/>
  <c r="R47" i="9"/>
  <c r="Q47" i="9"/>
  <c r="T47" i="9" s="1"/>
  <c r="T46" i="9"/>
  <c r="S46" i="9"/>
  <c r="R46" i="9"/>
  <c r="U46" i="9" s="1"/>
  <c r="Q46" i="9"/>
  <c r="S45" i="9"/>
  <c r="R45" i="9"/>
  <c r="U45" i="9" s="1"/>
  <c r="Q45" i="9"/>
  <c r="T45" i="9" s="1"/>
  <c r="N45" i="9"/>
  <c r="M45" i="9"/>
  <c r="P45" i="9" s="1"/>
  <c r="L45" i="9"/>
  <c r="O45" i="9" s="1"/>
  <c r="Q44" i="9"/>
  <c r="T44" i="9" s="1"/>
  <c r="U25" i="9"/>
  <c r="S25" i="9"/>
  <c r="R25" i="9"/>
  <c r="Q25" i="9"/>
  <c r="T25" i="9" s="1"/>
  <c r="P25" i="9"/>
  <c r="O25" i="9"/>
  <c r="N25" i="9"/>
  <c r="M25" i="9"/>
  <c r="L25" i="9"/>
  <c r="S22" i="9"/>
  <c r="S19" i="9" s="1"/>
  <c r="R22" i="9"/>
  <c r="Q22" i="9"/>
  <c r="T22" i="9" s="1"/>
  <c r="P22" i="9"/>
  <c r="N22" i="9"/>
  <c r="M22" i="9"/>
  <c r="M19" i="9" s="1"/>
  <c r="L22" i="9"/>
  <c r="R19" i="9"/>
  <c r="Q19" i="9"/>
  <c r="T19" i="9" s="1"/>
  <c r="N19" i="9"/>
  <c r="L19" i="9"/>
  <c r="A789" i="8"/>
  <c r="A788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H777" i="8"/>
  <c r="I776" i="8"/>
  <c r="I775" i="8"/>
  <c r="I774" i="8"/>
  <c r="K774" i="8" s="1"/>
  <c r="I772" i="8"/>
  <c r="K772" i="8" s="1"/>
  <c r="I770" i="8"/>
  <c r="K770" i="8" s="1"/>
  <c r="U768" i="8"/>
  <c r="T768" i="8"/>
  <c r="P768" i="8"/>
  <c r="O768" i="8"/>
  <c r="U767" i="8"/>
  <c r="T767" i="8"/>
  <c r="P767" i="8"/>
  <c r="O767" i="8"/>
  <c r="S766" i="8"/>
  <c r="R766" i="8"/>
  <c r="U766" i="8" s="1"/>
  <c r="Q766" i="8"/>
  <c r="T766" i="8" s="1"/>
  <c r="P766" i="8"/>
  <c r="N766" i="8"/>
  <c r="M766" i="8"/>
  <c r="L766" i="8"/>
  <c r="O766" i="8" s="1"/>
  <c r="S765" i="8"/>
  <c r="S762" i="8" s="1"/>
  <c r="R765" i="8"/>
  <c r="R763" i="8" s="1"/>
  <c r="Q765" i="8"/>
  <c r="Q763" i="8" s="1"/>
  <c r="P765" i="8"/>
  <c r="O765" i="8"/>
  <c r="U764" i="8"/>
  <c r="T764" i="8"/>
  <c r="P764" i="8"/>
  <c r="O764" i="8"/>
  <c r="O763" i="8"/>
  <c r="N763" i="8"/>
  <c r="M763" i="8"/>
  <c r="P763" i="8" s="1"/>
  <c r="L763" i="8"/>
  <c r="N762" i="8"/>
  <c r="M762" i="8"/>
  <c r="P762" i="8" s="1"/>
  <c r="L762" i="8"/>
  <c r="U761" i="8"/>
  <c r="S761" i="8"/>
  <c r="R761" i="8"/>
  <c r="Q761" i="8"/>
  <c r="P761" i="8"/>
  <c r="O761" i="8"/>
  <c r="N761" i="8"/>
  <c r="M761" i="8"/>
  <c r="L761" i="8"/>
  <c r="N760" i="8"/>
  <c r="J759" i="8"/>
  <c r="J758" i="8"/>
  <c r="I755" i="8"/>
  <c r="K755" i="8" s="1"/>
  <c r="I752" i="8"/>
  <c r="K752" i="8" s="1"/>
  <c r="I749" i="8"/>
  <c r="K749" i="8" s="1"/>
  <c r="I746" i="8"/>
  <c r="K746" i="8" s="1"/>
  <c r="I744" i="8"/>
  <c r="K744" i="8" s="1"/>
  <c r="I742" i="8"/>
  <c r="K742" i="8" s="1"/>
  <c r="I740" i="8"/>
  <c r="K740" i="8" s="1"/>
  <c r="U736" i="8"/>
  <c r="T736" i="8"/>
  <c r="P736" i="8"/>
  <c r="O736" i="8"/>
  <c r="U735" i="8"/>
  <c r="T735" i="8"/>
  <c r="P735" i="8"/>
  <c r="O735" i="8"/>
  <c r="U734" i="8"/>
  <c r="S734" i="8"/>
  <c r="R734" i="8"/>
  <c r="Q734" i="8"/>
  <c r="T734" i="8" s="1"/>
  <c r="P734" i="8"/>
  <c r="O734" i="8"/>
  <c r="N734" i="8"/>
  <c r="M734" i="8"/>
  <c r="L734" i="8"/>
  <c r="S733" i="8"/>
  <c r="S730" i="8" s="1"/>
  <c r="S728" i="8" s="1"/>
  <c r="R733" i="8"/>
  <c r="R731" i="8" s="1"/>
  <c r="Q733" i="8"/>
  <c r="Q731" i="8" s="1"/>
  <c r="P733" i="8"/>
  <c r="O733" i="8"/>
  <c r="U732" i="8"/>
  <c r="T732" i="8"/>
  <c r="P732" i="8"/>
  <c r="O732" i="8"/>
  <c r="N731" i="8"/>
  <c r="M731" i="8"/>
  <c r="P731" i="8" s="1"/>
  <c r="L731" i="8"/>
  <c r="O731" i="8" s="1"/>
  <c r="P730" i="8"/>
  <c r="N730" i="8"/>
  <c r="M730" i="8"/>
  <c r="L730" i="8"/>
  <c r="O730" i="8" s="1"/>
  <c r="U729" i="8"/>
  <c r="T729" i="8"/>
  <c r="S729" i="8"/>
  <c r="R729" i="8"/>
  <c r="Q729" i="8"/>
  <c r="P729" i="8"/>
  <c r="O729" i="8"/>
  <c r="N729" i="8"/>
  <c r="M729" i="8"/>
  <c r="L729" i="8"/>
  <c r="N728" i="8"/>
  <c r="M728" i="8"/>
  <c r="P728" i="8" s="1"/>
  <c r="J727" i="8"/>
  <c r="I727" i="8"/>
  <c r="J726" i="8"/>
  <c r="I726" i="8"/>
  <c r="U722" i="8"/>
  <c r="T722" i="8"/>
  <c r="P722" i="8"/>
  <c r="O722" i="8"/>
  <c r="U721" i="8"/>
  <c r="T721" i="8"/>
  <c r="P721" i="8"/>
  <c r="O721" i="8"/>
  <c r="T720" i="8"/>
  <c r="S720" i="8"/>
  <c r="R720" i="8"/>
  <c r="U720" i="8" s="1"/>
  <c r="Q720" i="8"/>
  <c r="N720" i="8"/>
  <c r="M720" i="8"/>
  <c r="P720" i="8" s="1"/>
  <c r="L720" i="8"/>
  <c r="O720" i="8" s="1"/>
  <c r="U719" i="8"/>
  <c r="T719" i="8"/>
  <c r="P719" i="8"/>
  <c r="O719" i="8"/>
  <c r="U718" i="8"/>
  <c r="T718" i="8"/>
  <c r="P718" i="8"/>
  <c r="O718" i="8"/>
  <c r="T717" i="8"/>
  <c r="S717" i="8"/>
  <c r="R717" i="8"/>
  <c r="U717" i="8" s="1"/>
  <c r="Q717" i="8"/>
  <c r="N717" i="8"/>
  <c r="M717" i="8"/>
  <c r="P717" i="8" s="1"/>
  <c r="L717" i="8"/>
  <c r="O717" i="8" s="1"/>
  <c r="S716" i="8"/>
  <c r="R716" i="8"/>
  <c r="U716" i="8" s="1"/>
  <c r="Q716" i="8"/>
  <c r="P716" i="8"/>
  <c r="N716" i="8"/>
  <c r="M716" i="8"/>
  <c r="L716" i="8"/>
  <c r="O716" i="8" s="1"/>
  <c r="U715" i="8"/>
  <c r="T715" i="8"/>
  <c r="S715" i="8"/>
  <c r="R715" i="8"/>
  <c r="R714" i="8" s="1"/>
  <c r="U714" i="8" s="1"/>
  <c r="Q715" i="8"/>
  <c r="P715" i="8"/>
  <c r="O715" i="8"/>
  <c r="N715" i="8"/>
  <c r="M715" i="8"/>
  <c r="L715" i="8"/>
  <c r="S714" i="8"/>
  <c r="N714" i="8"/>
  <c r="M714" i="8"/>
  <c r="P714" i="8" s="1"/>
  <c r="K712" i="8"/>
  <c r="J712" i="8"/>
  <c r="K710" i="8"/>
  <c r="J710" i="8"/>
  <c r="J709" i="8"/>
  <c r="I709" i="8"/>
  <c r="K709" i="8" s="1"/>
  <c r="K708" i="8"/>
  <c r="J708" i="8"/>
  <c r="J707" i="8"/>
  <c r="J689" i="8" s="1"/>
  <c r="I707" i="8"/>
  <c r="I689" i="8" s="1"/>
  <c r="K689" i="8" s="1"/>
  <c r="K706" i="8"/>
  <c r="J706" i="8"/>
  <c r="J705" i="8"/>
  <c r="I705" i="8"/>
  <c r="K705" i="8" s="1"/>
  <c r="K704" i="8"/>
  <c r="J704" i="8"/>
  <c r="J703" i="8"/>
  <c r="I703" i="8"/>
  <c r="K702" i="8"/>
  <c r="I700" i="8"/>
  <c r="K700" i="8" s="1"/>
  <c r="U698" i="8"/>
  <c r="T698" i="8"/>
  <c r="P698" i="8"/>
  <c r="O698" i="8"/>
  <c r="U697" i="8"/>
  <c r="T697" i="8"/>
  <c r="P697" i="8"/>
  <c r="O697" i="8"/>
  <c r="S696" i="8"/>
  <c r="R696" i="8"/>
  <c r="U696" i="8" s="1"/>
  <c r="Q696" i="8"/>
  <c r="T696" i="8" s="1"/>
  <c r="N696" i="8"/>
  <c r="M696" i="8"/>
  <c r="P696" i="8" s="1"/>
  <c r="L696" i="8"/>
  <c r="O696" i="8" s="1"/>
  <c r="S695" i="8"/>
  <c r="R695" i="8"/>
  <c r="Q695" i="8"/>
  <c r="P695" i="8"/>
  <c r="O695" i="8"/>
  <c r="U694" i="8"/>
  <c r="T694" i="8"/>
  <c r="P694" i="8"/>
  <c r="O694" i="8"/>
  <c r="P693" i="8"/>
  <c r="O693" i="8"/>
  <c r="N693" i="8"/>
  <c r="M693" i="8"/>
  <c r="L693" i="8"/>
  <c r="N692" i="8"/>
  <c r="M692" i="8"/>
  <c r="L692" i="8"/>
  <c r="O692" i="8" s="1"/>
  <c r="S691" i="8"/>
  <c r="R691" i="8"/>
  <c r="Q691" i="8"/>
  <c r="P691" i="8"/>
  <c r="N691" i="8"/>
  <c r="M691" i="8"/>
  <c r="L691" i="8"/>
  <c r="J682" i="8"/>
  <c r="I682" i="8"/>
  <c r="K682" i="8" s="1"/>
  <c r="J681" i="8"/>
  <c r="I681" i="8"/>
  <c r="K681" i="8" s="1"/>
  <c r="J680" i="8"/>
  <c r="J679" i="8"/>
  <c r="I679" i="8"/>
  <c r="K679" i="8" s="1"/>
  <c r="J678" i="8"/>
  <c r="I678" i="8"/>
  <c r="K678" i="8" s="1"/>
  <c r="J677" i="8"/>
  <c r="J676" i="8"/>
  <c r="I676" i="8"/>
  <c r="K676" i="8" s="1"/>
  <c r="I675" i="8"/>
  <c r="K675" i="8" s="1"/>
  <c r="I674" i="8"/>
  <c r="K674" i="8" s="1"/>
  <c r="J673" i="8"/>
  <c r="I673" i="8"/>
  <c r="K673" i="8" s="1"/>
  <c r="J672" i="8"/>
  <c r="J671" i="8"/>
  <c r="J661" i="8"/>
  <c r="I661" i="8"/>
  <c r="K661" i="8" s="1"/>
  <c r="I660" i="8"/>
  <c r="I657" i="8"/>
  <c r="J654" i="8"/>
  <c r="I654" i="8"/>
  <c r="K654" i="8" s="1"/>
  <c r="J653" i="8"/>
  <c r="I653" i="8"/>
  <c r="K653" i="8" s="1"/>
  <c r="J652" i="8"/>
  <c r="I652" i="8"/>
  <c r="K652" i="8" s="1"/>
  <c r="U650" i="8"/>
  <c r="T650" i="8"/>
  <c r="P650" i="8"/>
  <c r="O650" i="8"/>
  <c r="U649" i="8"/>
  <c r="T649" i="8"/>
  <c r="P649" i="8"/>
  <c r="O649" i="8"/>
  <c r="S648" i="8"/>
  <c r="R648" i="8"/>
  <c r="U648" i="8" s="1"/>
  <c r="Q648" i="8"/>
  <c r="T648" i="8" s="1"/>
  <c r="N648" i="8"/>
  <c r="M648" i="8"/>
  <c r="P648" i="8" s="1"/>
  <c r="L648" i="8"/>
  <c r="O648" i="8" s="1"/>
  <c r="S647" i="8"/>
  <c r="R647" i="8"/>
  <c r="Q647" i="8"/>
  <c r="P647" i="8"/>
  <c r="O647" i="8"/>
  <c r="U646" i="8"/>
  <c r="T646" i="8"/>
  <c r="P646" i="8"/>
  <c r="O646" i="8"/>
  <c r="P645" i="8"/>
  <c r="O645" i="8"/>
  <c r="N645" i="8"/>
  <c r="M645" i="8"/>
  <c r="L645" i="8"/>
  <c r="N644" i="8"/>
  <c r="M644" i="8"/>
  <c r="L644" i="8"/>
  <c r="O644" i="8" s="1"/>
  <c r="S643" i="8"/>
  <c r="R643" i="8"/>
  <c r="Q643" i="8"/>
  <c r="P643" i="8"/>
  <c r="N643" i="8"/>
  <c r="N642" i="8" s="1"/>
  <c r="M643" i="8"/>
  <c r="L643" i="8"/>
  <c r="J636" i="8"/>
  <c r="J635" i="8"/>
  <c r="I635" i="8"/>
  <c r="K635" i="8" s="1"/>
  <c r="J632" i="8"/>
  <c r="I628" i="8"/>
  <c r="K628" i="8" s="1"/>
  <c r="I627" i="8"/>
  <c r="K627" i="8" s="1"/>
  <c r="J626" i="8"/>
  <c r="I626" i="8"/>
  <c r="K631" i="8" s="1"/>
  <c r="U624" i="8"/>
  <c r="T624" i="8"/>
  <c r="P624" i="8"/>
  <c r="O624" i="8"/>
  <c r="U623" i="8"/>
  <c r="T623" i="8"/>
  <c r="P623" i="8"/>
  <c r="O623" i="8"/>
  <c r="T622" i="8"/>
  <c r="S622" i="8"/>
  <c r="R622" i="8"/>
  <c r="U622" i="8" s="1"/>
  <c r="Q622" i="8"/>
  <c r="N622" i="8"/>
  <c r="M622" i="8"/>
  <c r="P622" i="8" s="1"/>
  <c r="L622" i="8"/>
  <c r="O622" i="8" s="1"/>
  <c r="S621" i="8"/>
  <c r="S619" i="8" s="1"/>
  <c r="R621" i="8"/>
  <c r="Q621" i="8"/>
  <c r="Q619" i="8" s="1"/>
  <c r="P621" i="8"/>
  <c r="O621" i="8"/>
  <c r="U620" i="8"/>
  <c r="T620" i="8"/>
  <c r="P620" i="8"/>
  <c r="O620" i="8"/>
  <c r="P619" i="8"/>
  <c r="O619" i="8"/>
  <c r="N619" i="8"/>
  <c r="M619" i="8"/>
  <c r="L619" i="8"/>
  <c r="O618" i="8"/>
  <c r="N618" i="8"/>
  <c r="N616" i="8" s="1"/>
  <c r="M618" i="8"/>
  <c r="P618" i="8" s="1"/>
  <c r="L618" i="8"/>
  <c r="S617" i="8"/>
  <c r="R617" i="8"/>
  <c r="Q617" i="8"/>
  <c r="T617" i="8" s="1"/>
  <c r="N617" i="8"/>
  <c r="M617" i="8"/>
  <c r="L617" i="8"/>
  <c r="S607" i="8"/>
  <c r="S605" i="8" s="1"/>
  <c r="R607" i="8"/>
  <c r="Q607" i="8"/>
  <c r="N607" i="8"/>
  <c r="N605" i="8" s="1"/>
  <c r="M607" i="8"/>
  <c r="L607" i="8"/>
  <c r="U606" i="8"/>
  <c r="T606" i="8"/>
  <c r="P606" i="8"/>
  <c r="O606" i="8"/>
  <c r="S604" i="8"/>
  <c r="S602" i="8" s="1"/>
  <c r="R604" i="8"/>
  <c r="Q604" i="8"/>
  <c r="N604" i="8"/>
  <c r="M604" i="8"/>
  <c r="P604" i="8" s="1"/>
  <c r="L604" i="8"/>
  <c r="U603" i="8"/>
  <c r="T603" i="8"/>
  <c r="P603" i="8"/>
  <c r="O603" i="8"/>
  <c r="U600" i="8"/>
  <c r="T600" i="8"/>
  <c r="S600" i="8"/>
  <c r="R600" i="8"/>
  <c r="Q600" i="8"/>
  <c r="P600" i="8"/>
  <c r="O600" i="8"/>
  <c r="N600" i="8"/>
  <c r="M600" i="8"/>
  <c r="L600" i="8"/>
  <c r="U584" i="8"/>
  <c r="T584" i="8"/>
  <c r="N584" i="8"/>
  <c r="M584" i="8"/>
  <c r="L584" i="8"/>
  <c r="U583" i="8"/>
  <c r="T583" i="8"/>
  <c r="P583" i="8"/>
  <c r="O583" i="8"/>
  <c r="U582" i="8"/>
  <c r="S582" i="8"/>
  <c r="R582" i="8"/>
  <c r="Q582" i="8"/>
  <c r="T582" i="8" s="1"/>
  <c r="U581" i="8"/>
  <c r="T581" i="8"/>
  <c r="N581" i="8"/>
  <c r="N579" i="8" s="1"/>
  <c r="M581" i="8"/>
  <c r="P581" i="8" s="1"/>
  <c r="L581" i="8"/>
  <c r="O581" i="8" s="1"/>
  <c r="U580" i="8"/>
  <c r="T580" i="8"/>
  <c r="P580" i="8"/>
  <c r="O580" i="8"/>
  <c r="T579" i="8"/>
  <c r="S579" i="8"/>
  <c r="R579" i="8"/>
  <c r="U579" i="8" s="1"/>
  <c r="Q579" i="8"/>
  <c r="S578" i="8"/>
  <c r="R578" i="8"/>
  <c r="Q578" i="8"/>
  <c r="U577" i="8"/>
  <c r="T577" i="8"/>
  <c r="S577" i="8"/>
  <c r="R577" i="8"/>
  <c r="Q577" i="8"/>
  <c r="P577" i="8"/>
  <c r="O577" i="8"/>
  <c r="N577" i="8"/>
  <c r="M577" i="8"/>
  <c r="L577" i="8"/>
  <c r="S576" i="8"/>
  <c r="K575" i="8"/>
  <c r="J575" i="8"/>
  <c r="I575" i="8"/>
  <c r="U563" i="8"/>
  <c r="T563" i="8"/>
  <c r="N563" i="8"/>
  <c r="N561" i="8" s="1"/>
  <c r="M563" i="8"/>
  <c r="L563" i="8"/>
  <c r="U562" i="8"/>
  <c r="T562" i="8"/>
  <c r="P562" i="8"/>
  <c r="O562" i="8"/>
  <c r="T561" i="8"/>
  <c r="S561" i="8"/>
  <c r="R561" i="8"/>
  <c r="U561" i="8" s="1"/>
  <c r="Q561" i="8"/>
  <c r="U560" i="8"/>
  <c r="T560" i="8"/>
  <c r="N560" i="8"/>
  <c r="N558" i="8" s="1"/>
  <c r="M560" i="8"/>
  <c r="L560" i="8"/>
  <c r="L558" i="8" s="1"/>
  <c r="O558" i="8" s="1"/>
  <c r="U559" i="8"/>
  <c r="T559" i="8"/>
  <c r="P559" i="8"/>
  <c r="O559" i="8"/>
  <c r="U558" i="8"/>
  <c r="S558" i="8"/>
  <c r="R558" i="8"/>
  <c r="Q558" i="8"/>
  <c r="T558" i="8" s="1"/>
  <c r="U557" i="8"/>
  <c r="T557" i="8"/>
  <c r="S557" i="8"/>
  <c r="R557" i="8"/>
  <c r="Q557" i="8"/>
  <c r="S556" i="8"/>
  <c r="S555" i="8" s="1"/>
  <c r="R556" i="8"/>
  <c r="Q556" i="8"/>
  <c r="N556" i="8"/>
  <c r="M556" i="8"/>
  <c r="L556" i="8"/>
  <c r="J554" i="8"/>
  <c r="I554" i="8"/>
  <c r="K554" i="8" s="1"/>
  <c r="U542" i="8"/>
  <c r="T542" i="8"/>
  <c r="N542" i="8"/>
  <c r="M542" i="8"/>
  <c r="L542" i="8"/>
  <c r="L540" i="8" s="1"/>
  <c r="O540" i="8" s="1"/>
  <c r="U541" i="8"/>
  <c r="T541" i="8"/>
  <c r="P541" i="8"/>
  <c r="O541" i="8"/>
  <c r="U540" i="8"/>
  <c r="S540" i="8"/>
  <c r="R540" i="8"/>
  <c r="Q540" i="8"/>
  <c r="T540" i="8" s="1"/>
  <c r="U539" i="8"/>
  <c r="T539" i="8"/>
  <c r="N539" i="8"/>
  <c r="N537" i="8" s="1"/>
  <c r="M539" i="8"/>
  <c r="P539" i="8" s="1"/>
  <c r="L539" i="8"/>
  <c r="O539" i="8" s="1"/>
  <c r="U538" i="8"/>
  <c r="T538" i="8"/>
  <c r="P538" i="8"/>
  <c r="O538" i="8"/>
  <c r="T537" i="8"/>
  <c r="S537" i="8"/>
  <c r="R537" i="8"/>
  <c r="U537" i="8" s="1"/>
  <c r="Q537" i="8"/>
  <c r="S536" i="8"/>
  <c r="R536" i="8"/>
  <c r="U536" i="8" s="1"/>
  <c r="Q536" i="8"/>
  <c r="U535" i="8"/>
  <c r="T535" i="8"/>
  <c r="S535" i="8"/>
  <c r="R535" i="8"/>
  <c r="Q535" i="8"/>
  <c r="P535" i="8"/>
  <c r="O535" i="8"/>
  <c r="N535" i="8"/>
  <c r="M535" i="8"/>
  <c r="L535" i="8"/>
  <c r="S534" i="8"/>
  <c r="K533" i="8"/>
  <c r="J533" i="8"/>
  <c r="I533" i="8"/>
  <c r="K524" i="8"/>
  <c r="K523" i="8"/>
  <c r="U521" i="8"/>
  <c r="T521" i="8"/>
  <c r="N521" i="8"/>
  <c r="M521" i="8"/>
  <c r="L521" i="8"/>
  <c r="U520" i="8"/>
  <c r="T520" i="8"/>
  <c r="P520" i="8"/>
  <c r="O520" i="8"/>
  <c r="U519" i="8"/>
  <c r="T519" i="8"/>
  <c r="S519" i="8"/>
  <c r="R519" i="8"/>
  <c r="Q519" i="8"/>
  <c r="U518" i="8"/>
  <c r="T518" i="8"/>
  <c r="N518" i="8"/>
  <c r="N516" i="8" s="1"/>
  <c r="M518" i="8"/>
  <c r="M516" i="8" s="1"/>
  <c r="P516" i="8" s="1"/>
  <c r="L518" i="8"/>
  <c r="O518" i="8" s="1"/>
  <c r="U517" i="8"/>
  <c r="T517" i="8"/>
  <c r="P517" i="8"/>
  <c r="O517" i="8"/>
  <c r="S516" i="8"/>
  <c r="R516" i="8"/>
  <c r="U516" i="8" s="1"/>
  <c r="Q516" i="8"/>
  <c r="T516" i="8" s="1"/>
  <c r="U515" i="8"/>
  <c r="S515" i="8"/>
  <c r="R515" i="8"/>
  <c r="Q515" i="8"/>
  <c r="T515" i="8" s="1"/>
  <c r="U514" i="8"/>
  <c r="T514" i="8"/>
  <c r="S514" i="8"/>
  <c r="S513" i="8" s="1"/>
  <c r="R514" i="8"/>
  <c r="Q514" i="8"/>
  <c r="O514" i="8"/>
  <c r="N514" i="8"/>
  <c r="M514" i="8"/>
  <c r="P514" i="8" s="1"/>
  <c r="L514" i="8"/>
  <c r="R513" i="8"/>
  <c r="U513" i="8" s="1"/>
  <c r="K512" i="8"/>
  <c r="J512" i="8"/>
  <c r="I512" i="8"/>
  <c r="I509" i="8"/>
  <c r="K509" i="8" s="1"/>
  <c r="K508" i="8"/>
  <c r="I507" i="8"/>
  <c r="K507" i="8" s="1"/>
  <c r="I506" i="8"/>
  <c r="K506" i="8" s="1"/>
  <c r="I505" i="8"/>
  <c r="K505" i="8" s="1"/>
  <c r="I504" i="8"/>
  <c r="I503" i="8"/>
  <c r="U501" i="8"/>
  <c r="T501" i="8"/>
  <c r="N501" i="8"/>
  <c r="N499" i="8" s="1"/>
  <c r="M501" i="8"/>
  <c r="P501" i="8" s="1"/>
  <c r="L501" i="8"/>
  <c r="U500" i="8"/>
  <c r="T500" i="8"/>
  <c r="P500" i="8"/>
  <c r="O500" i="8"/>
  <c r="U499" i="8"/>
  <c r="T499" i="8"/>
  <c r="S499" i="8"/>
  <c r="R499" i="8"/>
  <c r="Q499" i="8"/>
  <c r="S498" i="8"/>
  <c r="S495" i="8" s="1"/>
  <c r="S493" i="8" s="1"/>
  <c r="R498" i="8"/>
  <c r="R495" i="8" s="1"/>
  <c r="Q498" i="8"/>
  <c r="Q495" i="8" s="1"/>
  <c r="T495" i="8" s="1"/>
  <c r="N498" i="8"/>
  <c r="N496" i="8" s="1"/>
  <c r="M498" i="8"/>
  <c r="L498" i="8"/>
  <c r="U497" i="8"/>
  <c r="T497" i="8"/>
  <c r="P497" i="8"/>
  <c r="O497" i="8"/>
  <c r="U494" i="8"/>
  <c r="S494" i="8"/>
  <c r="R494" i="8"/>
  <c r="Q494" i="8"/>
  <c r="P494" i="8"/>
  <c r="O494" i="8"/>
  <c r="N494" i="8"/>
  <c r="M494" i="8"/>
  <c r="L494" i="8"/>
  <c r="K485" i="8"/>
  <c r="J485" i="8"/>
  <c r="I485" i="8"/>
  <c r="J484" i="8"/>
  <c r="I484" i="8"/>
  <c r="K484" i="8" s="1"/>
  <c r="J483" i="8"/>
  <c r="J482" i="8"/>
  <c r="K477" i="8"/>
  <c r="J477" i="8"/>
  <c r="K476" i="8"/>
  <c r="J476" i="8"/>
  <c r="K475" i="8"/>
  <c r="J475" i="8"/>
  <c r="J468" i="8"/>
  <c r="J458" i="8" s="1"/>
  <c r="J467" i="8"/>
  <c r="J460" i="8"/>
  <c r="J459" i="8"/>
  <c r="J457" i="8" s="1"/>
  <c r="J456" i="8" s="1"/>
  <c r="I458" i="8"/>
  <c r="I457" i="8"/>
  <c r="J447" i="8"/>
  <c r="J446" i="8"/>
  <c r="J441" i="8"/>
  <c r="I441" i="8"/>
  <c r="K441" i="8" s="1"/>
  <c r="J440" i="8"/>
  <c r="I440" i="8"/>
  <c r="J433" i="8"/>
  <c r="I433" i="8"/>
  <c r="K433" i="8" s="1"/>
  <c r="J432" i="8"/>
  <c r="I432" i="8"/>
  <c r="K432" i="8" s="1"/>
  <c r="J425" i="8"/>
  <c r="I425" i="8"/>
  <c r="K425" i="8" s="1"/>
  <c r="J424" i="8"/>
  <c r="I424" i="8"/>
  <c r="K424" i="8" s="1"/>
  <c r="J423" i="8"/>
  <c r="J412" i="8" s="1"/>
  <c r="U421" i="8"/>
  <c r="T421" i="8"/>
  <c r="N421" i="8"/>
  <c r="N419" i="8" s="1"/>
  <c r="M421" i="8"/>
  <c r="P421" i="8" s="1"/>
  <c r="L421" i="8"/>
  <c r="U420" i="8"/>
  <c r="T420" i="8"/>
  <c r="P420" i="8"/>
  <c r="O420" i="8"/>
  <c r="T419" i="8"/>
  <c r="S419" i="8"/>
  <c r="R419" i="8"/>
  <c r="U419" i="8" s="1"/>
  <c r="Q419" i="8"/>
  <c r="S418" i="8"/>
  <c r="S415" i="8" s="1"/>
  <c r="S413" i="8" s="1"/>
  <c r="R418" i="8"/>
  <c r="R416" i="8" s="1"/>
  <c r="Q418" i="8"/>
  <c r="Q416" i="8" s="1"/>
  <c r="N418" i="8"/>
  <c r="N416" i="8" s="1"/>
  <c r="M418" i="8"/>
  <c r="L418" i="8"/>
  <c r="U417" i="8"/>
  <c r="T417" i="8"/>
  <c r="P417" i="8"/>
  <c r="O417" i="8"/>
  <c r="T414" i="8"/>
  <c r="S414" i="8"/>
  <c r="R414" i="8"/>
  <c r="Q414" i="8"/>
  <c r="P414" i="8"/>
  <c r="N414" i="8"/>
  <c r="M414" i="8"/>
  <c r="L414" i="8"/>
  <c r="U400" i="8"/>
  <c r="T400" i="8"/>
  <c r="P400" i="8"/>
  <c r="O400" i="8"/>
  <c r="U399" i="8"/>
  <c r="T399" i="8"/>
  <c r="P399" i="8"/>
  <c r="O399" i="8"/>
  <c r="U398" i="8"/>
  <c r="S398" i="8"/>
  <c r="R398" i="8"/>
  <c r="Q398" i="8"/>
  <c r="T398" i="8" s="1"/>
  <c r="P398" i="8"/>
  <c r="N398" i="8"/>
  <c r="M398" i="8"/>
  <c r="L398" i="8"/>
  <c r="O398" i="8" s="1"/>
  <c r="S397" i="8"/>
  <c r="S395" i="8" s="1"/>
  <c r="R397" i="8"/>
  <c r="R394" i="8" s="1"/>
  <c r="Q397" i="8"/>
  <c r="P397" i="8"/>
  <c r="O397" i="8"/>
  <c r="U396" i="8"/>
  <c r="T396" i="8"/>
  <c r="P396" i="8"/>
  <c r="O396" i="8"/>
  <c r="O395" i="8"/>
  <c r="N395" i="8"/>
  <c r="M395" i="8"/>
  <c r="P395" i="8" s="1"/>
  <c r="L395" i="8"/>
  <c r="N394" i="8"/>
  <c r="M394" i="8"/>
  <c r="P394" i="8" s="1"/>
  <c r="L394" i="8"/>
  <c r="O394" i="8" s="1"/>
  <c r="U393" i="8"/>
  <c r="S393" i="8"/>
  <c r="R393" i="8"/>
  <c r="Q393" i="8"/>
  <c r="P393" i="8"/>
  <c r="O393" i="8"/>
  <c r="N393" i="8"/>
  <c r="M393" i="8"/>
  <c r="L393" i="8"/>
  <c r="L392" i="8"/>
  <c r="O392" i="8" s="1"/>
  <c r="J391" i="8"/>
  <c r="I391" i="8"/>
  <c r="K391" i="8" s="1"/>
  <c r="J388" i="8"/>
  <c r="I388" i="8"/>
  <c r="K388" i="8" s="1"/>
  <c r="K387" i="8"/>
  <c r="J387" i="8"/>
  <c r="J386" i="8"/>
  <c r="I386" i="8"/>
  <c r="K385" i="8"/>
  <c r="J385" i="8"/>
  <c r="U383" i="8"/>
  <c r="T383" i="8"/>
  <c r="N383" i="8"/>
  <c r="N381" i="8" s="1"/>
  <c r="M383" i="8"/>
  <c r="P383" i="8" s="1"/>
  <c r="L383" i="8"/>
  <c r="L381" i="8" s="1"/>
  <c r="O381" i="8" s="1"/>
  <c r="U382" i="8"/>
  <c r="T382" i="8"/>
  <c r="P382" i="8"/>
  <c r="O382" i="8"/>
  <c r="S381" i="8"/>
  <c r="R381" i="8"/>
  <c r="U381" i="8" s="1"/>
  <c r="Q381" i="8"/>
  <c r="T381" i="8" s="1"/>
  <c r="S380" i="8"/>
  <c r="R380" i="8"/>
  <c r="Q380" i="8"/>
  <c r="Q378" i="8" s="1"/>
  <c r="N380" i="8"/>
  <c r="M380" i="8"/>
  <c r="M378" i="8" s="1"/>
  <c r="L380" i="8"/>
  <c r="U379" i="8"/>
  <c r="T379" i="8"/>
  <c r="P379" i="8"/>
  <c r="O379" i="8"/>
  <c r="U376" i="8"/>
  <c r="T376" i="8"/>
  <c r="S376" i="8"/>
  <c r="R376" i="8"/>
  <c r="Q376" i="8"/>
  <c r="O376" i="8"/>
  <c r="N376" i="8"/>
  <c r="M376" i="8"/>
  <c r="L376" i="8"/>
  <c r="D373" i="8"/>
  <c r="K372" i="8"/>
  <c r="J372" i="8"/>
  <c r="J371" i="8"/>
  <c r="I371" i="8"/>
  <c r="I365" i="8" s="1"/>
  <c r="K370" i="8"/>
  <c r="J370" i="8"/>
  <c r="J369" i="8"/>
  <c r="I369" i="8"/>
  <c r="J368" i="8"/>
  <c r="I368" i="8"/>
  <c r="K367" i="8"/>
  <c r="J367" i="8"/>
  <c r="U364" i="8"/>
  <c r="T364" i="8"/>
  <c r="N364" i="8"/>
  <c r="M364" i="8"/>
  <c r="M362" i="8" s="1"/>
  <c r="P362" i="8" s="1"/>
  <c r="L364" i="8"/>
  <c r="O364" i="8" s="1"/>
  <c r="U363" i="8"/>
  <c r="T363" i="8"/>
  <c r="P363" i="8"/>
  <c r="O363" i="8"/>
  <c r="T362" i="8"/>
  <c r="S362" i="8"/>
  <c r="R362" i="8"/>
  <c r="U362" i="8" s="1"/>
  <c r="Q362" i="8"/>
  <c r="U361" i="8"/>
  <c r="T361" i="8"/>
  <c r="N361" i="8"/>
  <c r="N359" i="8" s="1"/>
  <c r="M361" i="8"/>
  <c r="L361" i="8"/>
  <c r="U360" i="8"/>
  <c r="T360" i="8"/>
  <c r="P360" i="8"/>
  <c r="O360" i="8"/>
  <c r="U359" i="8"/>
  <c r="S359" i="8"/>
  <c r="R359" i="8"/>
  <c r="Q359" i="8"/>
  <c r="T359" i="8" s="1"/>
  <c r="U358" i="8"/>
  <c r="T358" i="8"/>
  <c r="S358" i="8"/>
  <c r="R358" i="8"/>
  <c r="Q358" i="8"/>
  <c r="T357" i="8"/>
  <c r="S357" i="8"/>
  <c r="R357" i="8"/>
  <c r="U357" i="8" s="1"/>
  <c r="Q357" i="8"/>
  <c r="Q356" i="8" s="1"/>
  <c r="T356" i="8" s="1"/>
  <c r="N357" i="8"/>
  <c r="M357" i="8"/>
  <c r="P357" i="8" s="1"/>
  <c r="L357" i="8"/>
  <c r="O357" i="8" s="1"/>
  <c r="R356" i="8"/>
  <c r="U356" i="8" s="1"/>
  <c r="J354" i="8"/>
  <c r="J353" i="8"/>
  <c r="J352" i="8"/>
  <c r="D350" i="8"/>
  <c r="J349" i="8"/>
  <c r="J348" i="8"/>
  <c r="J347" i="8"/>
  <c r="J346" i="8"/>
  <c r="I346" i="8"/>
  <c r="K344" i="8"/>
  <c r="J344" i="8"/>
  <c r="U341" i="8"/>
  <c r="T341" i="8"/>
  <c r="N341" i="8"/>
  <c r="M341" i="8"/>
  <c r="P341" i="8" s="1"/>
  <c r="L341" i="8"/>
  <c r="U340" i="8"/>
  <c r="T340" i="8"/>
  <c r="P340" i="8"/>
  <c r="O340" i="8"/>
  <c r="U339" i="8"/>
  <c r="S339" i="8"/>
  <c r="R339" i="8"/>
  <c r="Q339" i="8"/>
  <c r="T339" i="8" s="1"/>
  <c r="U338" i="8"/>
  <c r="T338" i="8"/>
  <c r="N338" i="8"/>
  <c r="M338" i="8"/>
  <c r="M336" i="8" s="1"/>
  <c r="L338" i="8"/>
  <c r="U337" i="8"/>
  <c r="T337" i="8"/>
  <c r="P337" i="8"/>
  <c r="O337" i="8"/>
  <c r="T336" i="8"/>
  <c r="S336" i="8"/>
  <c r="R336" i="8"/>
  <c r="U336" i="8" s="1"/>
  <c r="Q336" i="8"/>
  <c r="T335" i="8"/>
  <c r="S335" i="8"/>
  <c r="R335" i="8"/>
  <c r="U335" i="8" s="1"/>
  <c r="Q335" i="8"/>
  <c r="Q333" i="8" s="1"/>
  <c r="T333" i="8" s="1"/>
  <c r="T334" i="8"/>
  <c r="S334" i="8"/>
  <c r="R334" i="8"/>
  <c r="U334" i="8" s="1"/>
  <c r="Q334" i="8"/>
  <c r="P334" i="8"/>
  <c r="N334" i="8"/>
  <c r="M334" i="8"/>
  <c r="L334" i="8"/>
  <c r="O334" i="8" s="1"/>
  <c r="S333" i="8"/>
  <c r="I332" i="8"/>
  <c r="I330" i="8"/>
  <c r="I319" i="8" s="1"/>
  <c r="K319" i="8" s="1"/>
  <c r="U328" i="8"/>
  <c r="T328" i="8"/>
  <c r="N328" i="8"/>
  <c r="N326" i="8" s="1"/>
  <c r="M328" i="8"/>
  <c r="M326" i="8" s="1"/>
  <c r="P326" i="8" s="1"/>
  <c r="L328" i="8"/>
  <c r="U327" i="8"/>
  <c r="T327" i="8"/>
  <c r="P327" i="8"/>
  <c r="O327" i="8"/>
  <c r="U326" i="8"/>
  <c r="T326" i="8"/>
  <c r="S326" i="8"/>
  <c r="R326" i="8"/>
  <c r="Q326" i="8"/>
  <c r="U325" i="8"/>
  <c r="T325" i="8"/>
  <c r="N325" i="8"/>
  <c r="M325" i="8"/>
  <c r="L325" i="8"/>
  <c r="O325" i="8" s="1"/>
  <c r="U324" i="8"/>
  <c r="T324" i="8"/>
  <c r="P324" i="8"/>
  <c r="O324" i="8"/>
  <c r="S323" i="8"/>
  <c r="R323" i="8"/>
  <c r="U323" i="8" s="1"/>
  <c r="Q323" i="8"/>
  <c r="T323" i="8" s="1"/>
  <c r="U322" i="8"/>
  <c r="S322" i="8"/>
  <c r="S320" i="8" s="1"/>
  <c r="R322" i="8"/>
  <c r="Q322" i="8"/>
  <c r="T322" i="8" s="1"/>
  <c r="U321" i="8"/>
  <c r="S321" i="8"/>
  <c r="R321" i="8"/>
  <c r="R320" i="8" s="1"/>
  <c r="U320" i="8" s="1"/>
  <c r="Q321" i="8"/>
  <c r="N321" i="8"/>
  <c r="M321" i="8"/>
  <c r="P321" i="8" s="1"/>
  <c r="L321" i="8"/>
  <c r="J319" i="8"/>
  <c r="I314" i="8"/>
  <c r="K314" i="8" s="1"/>
  <c r="U311" i="8"/>
  <c r="T311" i="8"/>
  <c r="N311" i="8"/>
  <c r="M311" i="8"/>
  <c r="L311" i="8"/>
  <c r="O311" i="8" s="1"/>
  <c r="U310" i="8"/>
  <c r="T310" i="8"/>
  <c r="P310" i="8"/>
  <c r="O310" i="8"/>
  <c r="U309" i="8"/>
  <c r="S309" i="8"/>
  <c r="R309" i="8"/>
  <c r="Q309" i="8"/>
  <c r="T309" i="8" s="1"/>
  <c r="S308" i="8"/>
  <c r="S306" i="8" s="1"/>
  <c r="R308" i="8"/>
  <c r="R305" i="8" s="1"/>
  <c r="Q308" i="8"/>
  <c r="Q306" i="8" s="1"/>
  <c r="N308" i="8"/>
  <c r="N306" i="8" s="1"/>
  <c r="M308" i="8"/>
  <c r="M306" i="8" s="1"/>
  <c r="P306" i="8" s="1"/>
  <c r="L308" i="8"/>
  <c r="O308" i="8" s="1"/>
  <c r="U307" i="8"/>
  <c r="T307" i="8"/>
  <c r="P307" i="8"/>
  <c r="O307" i="8"/>
  <c r="U304" i="8"/>
  <c r="T304" i="8"/>
  <c r="S304" i="8"/>
  <c r="R304" i="8"/>
  <c r="Q304" i="8"/>
  <c r="O304" i="8"/>
  <c r="N304" i="8"/>
  <c r="M304" i="8"/>
  <c r="L304" i="8"/>
  <c r="J302" i="8"/>
  <c r="I296" i="8"/>
  <c r="K296" i="8" s="1"/>
  <c r="I295" i="8"/>
  <c r="K295" i="8" s="1"/>
  <c r="J293" i="8"/>
  <c r="J280" i="8" s="1"/>
  <c r="I293" i="8"/>
  <c r="K293" i="8" s="1"/>
  <c r="I292" i="8"/>
  <c r="U290" i="8"/>
  <c r="T290" i="8"/>
  <c r="N290" i="8"/>
  <c r="M290" i="8"/>
  <c r="M288" i="8" s="1"/>
  <c r="P288" i="8" s="1"/>
  <c r="L290" i="8"/>
  <c r="L288" i="8" s="1"/>
  <c r="O288" i="8" s="1"/>
  <c r="U289" i="8"/>
  <c r="T289" i="8"/>
  <c r="P289" i="8"/>
  <c r="O289" i="8"/>
  <c r="S288" i="8"/>
  <c r="R288" i="8"/>
  <c r="U288" i="8" s="1"/>
  <c r="Q288" i="8"/>
  <c r="T288" i="8" s="1"/>
  <c r="U287" i="8"/>
  <c r="T287" i="8"/>
  <c r="N287" i="8"/>
  <c r="N285" i="8" s="1"/>
  <c r="M287" i="8"/>
  <c r="L287" i="8"/>
  <c r="O287" i="8" s="1"/>
  <c r="U286" i="8"/>
  <c r="T286" i="8"/>
  <c r="P286" i="8"/>
  <c r="O286" i="8"/>
  <c r="S285" i="8"/>
  <c r="R285" i="8"/>
  <c r="U285" i="8" s="1"/>
  <c r="Q285" i="8"/>
  <c r="T285" i="8" s="1"/>
  <c r="S284" i="8"/>
  <c r="S282" i="8" s="1"/>
  <c r="R284" i="8"/>
  <c r="R282" i="8" s="1"/>
  <c r="Q284" i="8"/>
  <c r="T284" i="8" s="1"/>
  <c r="U283" i="8"/>
  <c r="S283" i="8"/>
  <c r="R283" i="8"/>
  <c r="Q283" i="8"/>
  <c r="T283" i="8" s="1"/>
  <c r="P283" i="8"/>
  <c r="O283" i="8"/>
  <c r="N283" i="8"/>
  <c r="M283" i="8"/>
  <c r="L283" i="8"/>
  <c r="U282" i="8"/>
  <c r="J281" i="8"/>
  <c r="I276" i="8"/>
  <c r="I265" i="8" s="1"/>
  <c r="K265" i="8" s="1"/>
  <c r="U274" i="8"/>
  <c r="T274" i="8"/>
  <c r="N274" i="8"/>
  <c r="M274" i="8"/>
  <c r="P274" i="8" s="1"/>
  <c r="L274" i="8"/>
  <c r="O274" i="8" s="1"/>
  <c r="U273" i="8"/>
  <c r="T273" i="8"/>
  <c r="P273" i="8"/>
  <c r="O273" i="8"/>
  <c r="T272" i="8"/>
  <c r="S272" i="8"/>
  <c r="R272" i="8"/>
  <c r="U272" i="8" s="1"/>
  <c r="Q272" i="8"/>
  <c r="S271" i="8"/>
  <c r="R271" i="8"/>
  <c r="R269" i="8" s="1"/>
  <c r="Q271" i="8"/>
  <c r="N271" i="8"/>
  <c r="M271" i="8"/>
  <c r="M269" i="8" s="1"/>
  <c r="L271" i="8"/>
  <c r="L269" i="8" s="1"/>
  <c r="U270" i="8"/>
  <c r="T270" i="8"/>
  <c r="P270" i="8"/>
  <c r="O270" i="8"/>
  <c r="T267" i="8"/>
  <c r="S267" i="8"/>
  <c r="R267" i="8"/>
  <c r="Q267" i="8"/>
  <c r="N267" i="8"/>
  <c r="M267" i="8"/>
  <c r="P267" i="8" s="1"/>
  <c r="L267" i="8"/>
  <c r="J265" i="8"/>
  <c r="K263" i="8"/>
  <c r="K262" i="8"/>
  <c r="I260" i="8"/>
  <c r="K260" i="8" s="1"/>
  <c r="L258" i="8"/>
  <c r="L257" i="8"/>
  <c r="L256" i="8"/>
  <c r="L255" i="8"/>
  <c r="P254" i="8"/>
  <c r="N254" i="8"/>
  <c r="J253" i="8"/>
  <c r="K252" i="8"/>
  <c r="K251" i="8"/>
  <c r="I249" i="8"/>
  <c r="L247" i="8"/>
  <c r="L246" i="8"/>
  <c r="L245" i="8"/>
  <c r="L244" i="8"/>
  <c r="P243" i="8"/>
  <c r="N243" i="8"/>
  <c r="J242" i="8"/>
  <c r="J231" i="8" s="1"/>
  <c r="J241" i="8"/>
  <c r="I241" i="8"/>
  <c r="K241" i="8" s="1"/>
  <c r="J240" i="8"/>
  <c r="I240" i="8"/>
  <c r="K240" i="8" s="1"/>
  <c r="J238" i="8"/>
  <c r="N236" i="8"/>
  <c r="N235" i="8"/>
  <c r="N234" i="8"/>
  <c r="N233" i="8"/>
  <c r="N232" i="8"/>
  <c r="I230" i="8"/>
  <c r="K230" i="8" s="1"/>
  <c r="I229" i="8"/>
  <c r="I221" i="8" s="1"/>
  <c r="I228" i="8"/>
  <c r="K228" i="8" s="1"/>
  <c r="L225" i="8"/>
  <c r="L224" i="8"/>
  <c r="L223" i="8"/>
  <c r="P222" i="8"/>
  <c r="N222" i="8"/>
  <c r="J221" i="8"/>
  <c r="I220" i="8"/>
  <c r="I213" i="8" s="1"/>
  <c r="K213" i="8" s="1"/>
  <c r="I219" i="8"/>
  <c r="K219" i="8" s="1"/>
  <c r="Q217" i="8"/>
  <c r="Q214" i="8" s="1"/>
  <c r="T214" i="8" s="1"/>
  <c r="L217" i="8"/>
  <c r="L216" i="8"/>
  <c r="L215" i="8"/>
  <c r="U214" i="8"/>
  <c r="S214" i="8"/>
  <c r="P214" i="8"/>
  <c r="N214" i="8"/>
  <c r="J213" i="8"/>
  <c r="I212" i="8"/>
  <c r="K212" i="8" s="1"/>
  <c r="I211" i="8"/>
  <c r="K211" i="8" s="1"/>
  <c r="I209" i="8"/>
  <c r="L207" i="8"/>
  <c r="Q206" i="8"/>
  <c r="Q203" i="8" s="1"/>
  <c r="T203" i="8" s="1"/>
  <c r="L206" i="8"/>
  <c r="L205" i="8"/>
  <c r="L204" i="8"/>
  <c r="U203" i="8"/>
  <c r="S203" i="8"/>
  <c r="P203" i="8"/>
  <c r="N203" i="8"/>
  <c r="J202" i="8"/>
  <c r="J199" i="8"/>
  <c r="I198" i="8"/>
  <c r="P196" i="8"/>
  <c r="L196" i="8"/>
  <c r="O196" i="8" s="1"/>
  <c r="J195" i="8"/>
  <c r="S194" i="8"/>
  <c r="S192" i="8" s="1"/>
  <c r="R194" i="8"/>
  <c r="U194" i="8" s="1"/>
  <c r="Q194" i="8"/>
  <c r="T194" i="8" s="1"/>
  <c r="N194" i="8"/>
  <c r="N192" i="8" s="1"/>
  <c r="M194" i="8"/>
  <c r="P194" i="8" s="1"/>
  <c r="L194" i="8"/>
  <c r="O194" i="8" s="1"/>
  <c r="U193" i="8"/>
  <c r="T193" i="8"/>
  <c r="P193" i="8"/>
  <c r="O193" i="8"/>
  <c r="S191" i="8"/>
  <c r="R191" i="8"/>
  <c r="R189" i="8" s="1"/>
  <c r="Q191" i="8"/>
  <c r="Q189" i="8" s="1"/>
  <c r="N191" i="8"/>
  <c r="N189" i="8" s="1"/>
  <c r="M191" i="8"/>
  <c r="M189" i="8" s="1"/>
  <c r="L191" i="8"/>
  <c r="L189" i="8" s="1"/>
  <c r="U190" i="8"/>
  <c r="T190" i="8"/>
  <c r="P190" i="8"/>
  <c r="O190" i="8"/>
  <c r="U187" i="8"/>
  <c r="S187" i="8"/>
  <c r="R187" i="8"/>
  <c r="Q187" i="8"/>
  <c r="T187" i="8" s="1"/>
  <c r="O187" i="8"/>
  <c r="N187" i="8"/>
  <c r="M187" i="8"/>
  <c r="P187" i="8" s="1"/>
  <c r="L187" i="8"/>
  <c r="J185" i="8"/>
  <c r="K184" i="8"/>
  <c r="I183" i="8"/>
  <c r="I172" i="8" s="1"/>
  <c r="K172" i="8" s="1"/>
  <c r="U181" i="8"/>
  <c r="T181" i="8"/>
  <c r="N181" i="8"/>
  <c r="N179" i="8" s="1"/>
  <c r="M181" i="8"/>
  <c r="P181" i="8" s="1"/>
  <c r="L181" i="8"/>
  <c r="O181" i="8" s="1"/>
  <c r="U180" i="8"/>
  <c r="T180" i="8"/>
  <c r="P180" i="8"/>
  <c r="O180" i="8"/>
  <c r="T179" i="8"/>
  <c r="S179" i="8"/>
  <c r="R179" i="8"/>
  <c r="U179" i="8" s="1"/>
  <c r="Q179" i="8"/>
  <c r="S178" i="8"/>
  <c r="S176" i="8" s="1"/>
  <c r="R178" i="8"/>
  <c r="U178" i="8" s="1"/>
  <c r="Q178" i="8"/>
  <c r="Q176" i="8" s="1"/>
  <c r="T176" i="8" s="1"/>
  <c r="N178" i="8"/>
  <c r="M178" i="8"/>
  <c r="L178" i="8"/>
  <c r="L176" i="8" s="1"/>
  <c r="U177" i="8"/>
  <c r="T177" i="8"/>
  <c r="P177" i="8"/>
  <c r="O177" i="8"/>
  <c r="U174" i="8"/>
  <c r="S174" i="8"/>
  <c r="R174" i="8"/>
  <c r="Q174" i="8"/>
  <c r="P174" i="8"/>
  <c r="O174" i="8"/>
  <c r="N174" i="8"/>
  <c r="M174" i="8"/>
  <c r="L174" i="8"/>
  <c r="J172" i="8"/>
  <c r="I169" i="8"/>
  <c r="K169" i="8" s="1"/>
  <c r="I168" i="8"/>
  <c r="K168" i="8" s="1"/>
  <c r="I167" i="8"/>
  <c r="K167" i="8" s="1"/>
  <c r="U165" i="8"/>
  <c r="T165" i="8"/>
  <c r="N165" i="8"/>
  <c r="N163" i="8" s="1"/>
  <c r="M165" i="8"/>
  <c r="P165" i="8" s="1"/>
  <c r="L165" i="8"/>
  <c r="O165" i="8" s="1"/>
  <c r="U164" i="8"/>
  <c r="T164" i="8"/>
  <c r="P164" i="8"/>
  <c r="O164" i="8"/>
  <c r="T163" i="8"/>
  <c r="S163" i="8"/>
  <c r="R163" i="8"/>
  <c r="U163" i="8" s="1"/>
  <c r="Q163" i="8"/>
  <c r="S162" i="8"/>
  <c r="R162" i="8"/>
  <c r="U162" i="8" s="1"/>
  <c r="Q162" i="8"/>
  <c r="Q160" i="8" s="1"/>
  <c r="T160" i="8" s="1"/>
  <c r="N162" i="8"/>
  <c r="M162" i="8"/>
  <c r="L162" i="8"/>
  <c r="U161" i="8"/>
  <c r="T161" i="8"/>
  <c r="P161" i="8"/>
  <c r="O161" i="8"/>
  <c r="U158" i="8"/>
  <c r="T158" i="8"/>
  <c r="S158" i="8"/>
  <c r="R158" i="8"/>
  <c r="Q158" i="8"/>
  <c r="P158" i="8"/>
  <c r="O158" i="8"/>
  <c r="N158" i="8"/>
  <c r="M158" i="8"/>
  <c r="L158" i="8"/>
  <c r="J156" i="8"/>
  <c r="I154" i="8"/>
  <c r="K154" i="8" s="1"/>
  <c r="I153" i="8"/>
  <c r="I138" i="8" s="1"/>
  <c r="K138" i="8" s="1"/>
  <c r="I152" i="8"/>
  <c r="I151" i="8"/>
  <c r="K151" i="8" s="1"/>
  <c r="I150" i="8"/>
  <c r="K150" i="8" s="1"/>
  <c r="S147" i="8"/>
  <c r="S145" i="8" s="1"/>
  <c r="R147" i="8"/>
  <c r="R145" i="8" s="1"/>
  <c r="U145" i="8" s="1"/>
  <c r="Q147" i="8"/>
  <c r="Q145" i="8" s="1"/>
  <c r="T145" i="8" s="1"/>
  <c r="N147" i="8"/>
  <c r="N145" i="8" s="1"/>
  <c r="M147" i="8"/>
  <c r="L147" i="8"/>
  <c r="L145" i="8" s="1"/>
  <c r="O145" i="8" s="1"/>
  <c r="U146" i="8"/>
  <c r="T146" i="8"/>
  <c r="P146" i="8"/>
  <c r="O146" i="8"/>
  <c r="S144" i="8"/>
  <c r="R144" i="8"/>
  <c r="U144" i="8" s="1"/>
  <c r="Q144" i="8"/>
  <c r="N144" i="8"/>
  <c r="N142" i="8" s="1"/>
  <c r="M144" i="8"/>
  <c r="P144" i="8" s="1"/>
  <c r="L144" i="8"/>
  <c r="O144" i="8" s="1"/>
  <c r="U143" i="8"/>
  <c r="T143" i="8"/>
  <c r="P143" i="8"/>
  <c r="O143" i="8"/>
  <c r="S140" i="8"/>
  <c r="R140" i="8"/>
  <c r="Q140" i="8"/>
  <c r="P140" i="8"/>
  <c r="N140" i="8"/>
  <c r="M140" i="8"/>
  <c r="L140" i="8"/>
  <c r="J138" i="8"/>
  <c r="J137" i="8"/>
  <c r="J136" i="8"/>
  <c r="I130" i="8"/>
  <c r="K130" i="8" s="1"/>
  <c r="I129" i="8"/>
  <c r="K129" i="8" s="1"/>
  <c r="I128" i="8"/>
  <c r="K128" i="8" s="1"/>
  <c r="I127" i="8"/>
  <c r="K127" i="8" s="1"/>
  <c r="S125" i="8"/>
  <c r="S123" i="8" s="1"/>
  <c r="R125" i="8"/>
  <c r="R123" i="8" s="1"/>
  <c r="U123" i="8" s="1"/>
  <c r="Q125" i="8"/>
  <c r="T125" i="8" s="1"/>
  <c r="N125" i="8"/>
  <c r="N123" i="8" s="1"/>
  <c r="M125" i="8"/>
  <c r="M123" i="8" s="1"/>
  <c r="P123" i="8" s="1"/>
  <c r="L125" i="8"/>
  <c r="O125" i="8" s="1"/>
  <c r="U124" i="8"/>
  <c r="T124" i="8"/>
  <c r="P124" i="8"/>
  <c r="O124" i="8"/>
  <c r="S122" i="8"/>
  <c r="S120" i="8" s="1"/>
  <c r="R122" i="8"/>
  <c r="R120" i="8" s="1"/>
  <c r="Q122" i="8"/>
  <c r="Q120" i="8" s="1"/>
  <c r="N122" i="8"/>
  <c r="N120" i="8" s="1"/>
  <c r="M122" i="8"/>
  <c r="M120" i="8" s="1"/>
  <c r="P120" i="8" s="1"/>
  <c r="L122" i="8"/>
  <c r="O122" i="8" s="1"/>
  <c r="U121" i="8"/>
  <c r="T121" i="8"/>
  <c r="P121" i="8"/>
  <c r="O121" i="8"/>
  <c r="U118" i="8"/>
  <c r="S118" i="8"/>
  <c r="R118" i="8"/>
  <c r="Q118" i="8"/>
  <c r="P118" i="8"/>
  <c r="O118" i="8"/>
  <c r="N118" i="8"/>
  <c r="M118" i="8"/>
  <c r="L118" i="8"/>
  <c r="J116" i="8"/>
  <c r="I114" i="8"/>
  <c r="K114" i="8" s="1"/>
  <c r="I113" i="8"/>
  <c r="K113" i="8" s="1"/>
  <c r="I109" i="8"/>
  <c r="I108" i="8"/>
  <c r="I92" i="8" s="1"/>
  <c r="K92" i="8" s="1"/>
  <c r="U102" i="8"/>
  <c r="T102" i="8"/>
  <c r="N102" i="8"/>
  <c r="N100" i="8" s="1"/>
  <c r="M102" i="8"/>
  <c r="P102" i="8" s="1"/>
  <c r="L102" i="8"/>
  <c r="L100" i="8" s="1"/>
  <c r="O100" i="8" s="1"/>
  <c r="U101" i="8"/>
  <c r="T101" i="8"/>
  <c r="P101" i="8"/>
  <c r="O101" i="8"/>
  <c r="U100" i="8"/>
  <c r="T100" i="8"/>
  <c r="S100" i="8"/>
  <c r="R100" i="8"/>
  <c r="Q100" i="8"/>
  <c r="S99" i="8"/>
  <c r="S97" i="8" s="1"/>
  <c r="R99" i="8"/>
  <c r="R97" i="8" s="1"/>
  <c r="Q99" i="8"/>
  <c r="Q97" i="8" s="1"/>
  <c r="N99" i="8"/>
  <c r="N97" i="8" s="1"/>
  <c r="M99" i="8"/>
  <c r="L99" i="8"/>
  <c r="L97" i="8" s="1"/>
  <c r="U98" i="8"/>
  <c r="T98" i="8"/>
  <c r="P98" i="8"/>
  <c r="O98" i="8"/>
  <c r="S95" i="8"/>
  <c r="R95" i="8"/>
  <c r="Q95" i="8"/>
  <c r="T95" i="8" s="1"/>
  <c r="P95" i="8"/>
  <c r="N95" i="8"/>
  <c r="M95" i="8"/>
  <c r="L95" i="8"/>
  <c r="J93" i="8"/>
  <c r="J92" i="8"/>
  <c r="I90" i="8"/>
  <c r="K90" i="8" s="1"/>
  <c r="I89" i="8"/>
  <c r="K89" i="8" s="1"/>
  <c r="I88" i="8"/>
  <c r="K88" i="8" s="1"/>
  <c r="I87" i="8"/>
  <c r="I86" i="8"/>
  <c r="K86" i="8" s="1"/>
  <c r="I85" i="8"/>
  <c r="K85" i="8" s="1"/>
  <c r="I84" i="8"/>
  <c r="K84" i="8" s="1"/>
  <c r="J83" i="8"/>
  <c r="J71" i="8" s="1"/>
  <c r="J82" i="8"/>
  <c r="S80" i="8"/>
  <c r="S78" i="8" s="1"/>
  <c r="R80" i="8"/>
  <c r="U80" i="8" s="1"/>
  <c r="Q80" i="8"/>
  <c r="T80" i="8" s="1"/>
  <c r="N80" i="8"/>
  <c r="N78" i="8" s="1"/>
  <c r="M80" i="8"/>
  <c r="M78" i="8" s="1"/>
  <c r="P78" i="8" s="1"/>
  <c r="L80" i="8"/>
  <c r="L78" i="8" s="1"/>
  <c r="O78" i="8" s="1"/>
  <c r="U79" i="8"/>
  <c r="T79" i="8"/>
  <c r="P79" i="8"/>
  <c r="O79" i="8"/>
  <c r="S77" i="8"/>
  <c r="S75" i="8" s="1"/>
  <c r="R77" i="8"/>
  <c r="U77" i="8" s="1"/>
  <c r="Q77" i="8"/>
  <c r="T77" i="8" s="1"/>
  <c r="N77" i="8"/>
  <c r="N75" i="8" s="1"/>
  <c r="M77" i="8"/>
  <c r="M75" i="8" s="1"/>
  <c r="P75" i="8" s="1"/>
  <c r="L77" i="8"/>
  <c r="L75" i="8" s="1"/>
  <c r="O75" i="8" s="1"/>
  <c r="U76" i="8"/>
  <c r="T76" i="8"/>
  <c r="P76" i="8"/>
  <c r="O76" i="8"/>
  <c r="T73" i="8"/>
  <c r="S73" i="8"/>
  <c r="R73" i="8"/>
  <c r="Q73" i="8"/>
  <c r="O73" i="8"/>
  <c r="N73" i="8"/>
  <c r="M73" i="8"/>
  <c r="P73" i="8" s="1"/>
  <c r="L73" i="8"/>
  <c r="J70" i="8"/>
  <c r="U67" i="8"/>
  <c r="T67" i="8"/>
  <c r="N67" i="8"/>
  <c r="N65" i="8" s="1"/>
  <c r="M67" i="8"/>
  <c r="M65" i="8" s="1"/>
  <c r="L67" i="8"/>
  <c r="L65" i="8" s="1"/>
  <c r="U66" i="8"/>
  <c r="T66" i="8"/>
  <c r="P66" i="8"/>
  <c r="O66" i="8"/>
  <c r="U65" i="8"/>
  <c r="T65" i="8"/>
  <c r="S65" i="8"/>
  <c r="R65" i="8"/>
  <c r="Q65" i="8"/>
  <c r="U64" i="8"/>
  <c r="T64" i="8"/>
  <c r="N64" i="8"/>
  <c r="M64" i="8"/>
  <c r="M62" i="8" s="1"/>
  <c r="L64" i="8"/>
  <c r="U63" i="8"/>
  <c r="T63" i="8"/>
  <c r="P63" i="8"/>
  <c r="O63" i="8"/>
  <c r="S62" i="8"/>
  <c r="R62" i="8"/>
  <c r="U62" i="8" s="1"/>
  <c r="Q62" i="8"/>
  <c r="T62" i="8" s="1"/>
  <c r="U61" i="8"/>
  <c r="S61" i="8"/>
  <c r="R61" i="8"/>
  <c r="Q61" i="8"/>
  <c r="T61" i="8" s="1"/>
  <c r="T60" i="8"/>
  <c r="S60" i="8"/>
  <c r="R60" i="8"/>
  <c r="U60" i="8" s="1"/>
  <c r="Q60" i="8"/>
  <c r="O60" i="8"/>
  <c r="N60" i="8"/>
  <c r="M60" i="8"/>
  <c r="P60" i="8" s="1"/>
  <c r="L60" i="8"/>
  <c r="S59" i="8"/>
  <c r="U52" i="8"/>
  <c r="T52" i="8"/>
  <c r="N52" i="8"/>
  <c r="M52" i="8"/>
  <c r="L52" i="8"/>
  <c r="O52" i="8" s="1"/>
  <c r="U51" i="8"/>
  <c r="T51" i="8"/>
  <c r="P51" i="8"/>
  <c r="O51" i="8"/>
  <c r="U50" i="8"/>
  <c r="T50" i="8"/>
  <c r="S50" i="8"/>
  <c r="R50" i="8"/>
  <c r="Q50" i="8"/>
  <c r="U49" i="8"/>
  <c r="T49" i="8"/>
  <c r="N49" i="8"/>
  <c r="M49" i="8"/>
  <c r="M47" i="8" s="1"/>
  <c r="L49" i="8"/>
  <c r="L47" i="8" s="1"/>
  <c r="U48" i="8"/>
  <c r="T48" i="8"/>
  <c r="P48" i="8"/>
  <c r="O48" i="8"/>
  <c r="S47" i="8"/>
  <c r="R47" i="8"/>
  <c r="U47" i="8" s="1"/>
  <c r="Q47" i="8"/>
  <c r="T47" i="8" s="1"/>
  <c r="U46" i="8"/>
  <c r="T46" i="8"/>
  <c r="S46" i="8"/>
  <c r="R46" i="8"/>
  <c r="Q46" i="8"/>
  <c r="U45" i="8"/>
  <c r="T45" i="8"/>
  <c r="S45" i="8"/>
  <c r="R45" i="8"/>
  <c r="Q45" i="8"/>
  <c r="Q44" i="8" s="1"/>
  <c r="T44" i="8" s="1"/>
  <c r="N45" i="8"/>
  <c r="M45" i="8"/>
  <c r="P45" i="8" s="1"/>
  <c r="L45" i="8"/>
  <c r="O45" i="8" s="1"/>
  <c r="S44" i="8"/>
  <c r="R44" i="8"/>
  <c r="U44" i="8" s="1"/>
  <c r="T25" i="8"/>
  <c r="S25" i="8"/>
  <c r="R25" i="8"/>
  <c r="U25" i="8" s="1"/>
  <c r="Q25" i="8"/>
  <c r="N25" i="8"/>
  <c r="M25" i="8"/>
  <c r="L25" i="8"/>
  <c r="O25" i="8" s="1"/>
  <c r="T22" i="8"/>
  <c r="S22" i="8"/>
  <c r="R22" i="8"/>
  <c r="U22" i="8" s="1"/>
  <c r="Q22" i="8"/>
  <c r="Q19" i="8" s="1"/>
  <c r="N22" i="8"/>
  <c r="N19" i="8" s="1"/>
  <c r="M22" i="8"/>
  <c r="L22" i="8"/>
  <c r="O22" i="8" s="1"/>
  <c r="S19" i="8"/>
  <c r="R19" i="8"/>
  <c r="U19" i="8" s="1"/>
  <c r="L19" i="8"/>
  <c r="O19" i="8" s="1"/>
  <c r="A789" i="7"/>
  <c r="A788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H777" i="7"/>
  <c r="I776" i="7"/>
  <c r="I775" i="7"/>
  <c r="I774" i="7"/>
  <c r="I772" i="7"/>
  <c r="K772" i="7" s="1"/>
  <c r="I770" i="7"/>
  <c r="K770" i="7" s="1"/>
  <c r="U768" i="7"/>
  <c r="T768" i="7"/>
  <c r="P768" i="7"/>
  <c r="O768" i="7"/>
  <c r="U767" i="7"/>
  <c r="T767" i="7"/>
  <c r="P767" i="7"/>
  <c r="O767" i="7"/>
  <c r="S766" i="7"/>
  <c r="R766" i="7"/>
  <c r="U766" i="7" s="1"/>
  <c r="Q766" i="7"/>
  <c r="T766" i="7" s="1"/>
  <c r="N766" i="7"/>
  <c r="M766" i="7"/>
  <c r="P766" i="7" s="1"/>
  <c r="L766" i="7"/>
  <c r="O766" i="7" s="1"/>
  <c r="S765" i="7"/>
  <c r="S763" i="7" s="1"/>
  <c r="R765" i="7"/>
  <c r="R763" i="7" s="1"/>
  <c r="Q765" i="7"/>
  <c r="P765" i="7"/>
  <c r="O765" i="7"/>
  <c r="U764" i="7"/>
  <c r="T764" i="7"/>
  <c r="P764" i="7"/>
  <c r="O764" i="7"/>
  <c r="P763" i="7"/>
  <c r="O763" i="7"/>
  <c r="N763" i="7"/>
  <c r="M763" i="7"/>
  <c r="L763" i="7"/>
  <c r="N762" i="7"/>
  <c r="M762" i="7"/>
  <c r="P762" i="7" s="1"/>
  <c r="L762" i="7"/>
  <c r="O762" i="7" s="1"/>
  <c r="S761" i="7"/>
  <c r="R761" i="7"/>
  <c r="U761" i="7" s="1"/>
  <c r="Q761" i="7"/>
  <c r="P761" i="7"/>
  <c r="N761" i="7"/>
  <c r="M761" i="7"/>
  <c r="M760" i="7" s="1"/>
  <c r="P760" i="7" s="1"/>
  <c r="L761" i="7"/>
  <c r="O761" i="7" s="1"/>
  <c r="N760" i="7"/>
  <c r="J759" i="7"/>
  <c r="J758" i="7"/>
  <c r="I755" i="7"/>
  <c r="K755" i="7" s="1"/>
  <c r="I752" i="7"/>
  <c r="K752" i="7" s="1"/>
  <c r="I749" i="7"/>
  <c r="K749" i="7" s="1"/>
  <c r="I746" i="7"/>
  <c r="K746" i="7" s="1"/>
  <c r="I744" i="7"/>
  <c r="K744" i="7" s="1"/>
  <c r="I742" i="7"/>
  <c r="K742" i="7" s="1"/>
  <c r="I740" i="7"/>
  <c r="K740" i="7" s="1"/>
  <c r="U736" i="7"/>
  <c r="T736" i="7"/>
  <c r="P736" i="7"/>
  <c r="O736" i="7"/>
  <c r="U735" i="7"/>
  <c r="T735" i="7"/>
  <c r="P735" i="7"/>
  <c r="O735" i="7"/>
  <c r="U734" i="7"/>
  <c r="S734" i="7"/>
  <c r="R734" i="7"/>
  <c r="Q734" i="7"/>
  <c r="T734" i="7" s="1"/>
  <c r="P734" i="7"/>
  <c r="O734" i="7"/>
  <c r="N734" i="7"/>
  <c r="M734" i="7"/>
  <c r="L734" i="7"/>
  <c r="S733" i="7"/>
  <c r="R733" i="7"/>
  <c r="Q733" i="7"/>
  <c r="Q731" i="7" s="1"/>
  <c r="P733" i="7"/>
  <c r="O733" i="7"/>
  <c r="U732" i="7"/>
  <c r="T732" i="7"/>
  <c r="P732" i="7"/>
  <c r="O732" i="7"/>
  <c r="N731" i="7"/>
  <c r="M731" i="7"/>
  <c r="P731" i="7" s="1"/>
  <c r="L731" i="7"/>
  <c r="O731" i="7" s="1"/>
  <c r="N730" i="7"/>
  <c r="M730" i="7"/>
  <c r="P730" i="7" s="1"/>
  <c r="L730" i="7"/>
  <c r="O730" i="7" s="1"/>
  <c r="U729" i="7"/>
  <c r="T729" i="7"/>
  <c r="S729" i="7"/>
  <c r="R729" i="7"/>
  <c r="Q729" i="7"/>
  <c r="P729" i="7"/>
  <c r="O729" i="7"/>
  <c r="N729" i="7"/>
  <c r="M729" i="7"/>
  <c r="L729" i="7"/>
  <c r="L728" i="7" s="1"/>
  <c r="O728" i="7" s="1"/>
  <c r="N728" i="7"/>
  <c r="M728" i="7"/>
  <c r="P728" i="7" s="1"/>
  <c r="J727" i="7"/>
  <c r="I727" i="7"/>
  <c r="K727" i="7" s="1"/>
  <c r="J726" i="7"/>
  <c r="I726" i="7"/>
  <c r="K726" i="7" s="1"/>
  <c r="U722" i="7"/>
  <c r="T722" i="7"/>
  <c r="P722" i="7"/>
  <c r="O722" i="7"/>
  <c r="U721" i="7"/>
  <c r="T721" i="7"/>
  <c r="P721" i="7"/>
  <c r="O721" i="7"/>
  <c r="T720" i="7"/>
  <c r="S720" i="7"/>
  <c r="R720" i="7"/>
  <c r="U720" i="7" s="1"/>
  <c r="Q720" i="7"/>
  <c r="N720" i="7"/>
  <c r="M720" i="7"/>
  <c r="P720" i="7" s="1"/>
  <c r="L720" i="7"/>
  <c r="O720" i="7" s="1"/>
  <c r="U719" i="7"/>
  <c r="T719" i="7"/>
  <c r="P719" i="7"/>
  <c r="O719" i="7"/>
  <c r="U718" i="7"/>
  <c r="T718" i="7"/>
  <c r="P718" i="7"/>
  <c r="O718" i="7"/>
  <c r="T717" i="7"/>
  <c r="S717" i="7"/>
  <c r="R717" i="7"/>
  <c r="U717" i="7" s="1"/>
  <c r="Q717" i="7"/>
  <c r="N717" i="7"/>
  <c r="M717" i="7"/>
  <c r="P717" i="7" s="1"/>
  <c r="L717" i="7"/>
  <c r="O717" i="7" s="1"/>
  <c r="S716" i="7"/>
  <c r="R716" i="7"/>
  <c r="U716" i="7" s="1"/>
  <c r="Q716" i="7"/>
  <c r="P716" i="7"/>
  <c r="N716" i="7"/>
  <c r="M716" i="7"/>
  <c r="L716" i="7"/>
  <c r="O716" i="7" s="1"/>
  <c r="U715" i="7"/>
  <c r="T715" i="7"/>
  <c r="S715" i="7"/>
  <c r="R715" i="7"/>
  <c r="R714" i="7" s="1"/>
  <c r="U714" i="7" s="1"/>
  <c r="Q715" i="7"/>
  <c r="P715" i="7"/>
  <c r="O715" i="7"/>
  <c r="N715" i="7"/>
  <c r="M715" i="7"/>
  <c r="L715" i="7"/>
  <c r="L714" i="7" s="1"/>
  <c r="O714" i="7" s="1"/>
  <c r="S714" i="7"/>
  <c r="N714" i="7"/>
  <c r="M714" i="7"/>
  <c r="P714" i="7" s="1"/>
  <c r="K712" i="7"/>
  <c r="J712" i="7"/>
  <c r="K710" i="7"/>
  <c r="J710" i="7"/>
  <c r="J709" i="7"/>
  <c r="I709" i="7"/>
  <c r="K709" i="7" s="1"/>
  <c r="K708" i="7"/>
  <c r="J708" i="7"/>
  <c r="J707" i="7"/>
  <c r="J689" i="7" s="1"/>
  <c r="I707" i="7"/>
  <c r="K707" i="7" s="1"/>
  <c r="K706" i="7"/>
  <c r="J706" i="7"/>
  <c r="J705" i="7"/>
  <c r="I705" i="7"/>
  <c r="K705" i="7" s="1"/>
  <c r="K704" i="7"/>
  <c r="J704" i="7"/>
  <c r="J703" i="7"/>
  <c r="I703" i="7"/>
  <c r="K702" i="7"/>
  <c r="I700" i="7"/>
  <c r="K700" i="7" s="1"/>
  <c r="U698" i="7"/>
  <c r="T698" i="7"/>
  <c r="P698" i="7"/>
  <c r="O698" i="7"/>
  <c r="U697" i="7"/>
  <c r="T697" i="7"/>
  <c r="P697" i="7"/>
  <c r="O697" i="7"/>
  <c r="S696" i="7"/>
  <c r="R696" i="7"/>
  <c r="U696" i="7" s="1"/>
  <c r="Q696" i="7"/>
  <c r="T696" i="7" s="1"/>
  <c r="N696" i="7"/>
  <c r="M696" i="7"/>
  <c r="P696" i="7" s="1"/>
  <c r="L696" i="7"/>
  <c r="O696" i="7" s="1"/>
  <c r="S695" i="7"/>
  <c r="S693" i="7" s="1"/>
  <c r="R695" i="7"/>
  <c r="Q695" i="7"/>
  <c r="P695" i="7"/>
  <c r="O695" i="7"/>
  <c r="U694" i="7"/>
  <c r="T694" i="7"/>
  <c r="P694" i="7"/>
  <c r="O694" i="7"/>
  <c r="P693" i="7"/>
  <c r="O693" i="7"/>
  <c r="N693" i="7"/>
  <c r="M693" i="7"/>
  <c r="L693" i="7"/>
  <c r="N692" i="7"/>
  <c r="M692" i="7"/>
  <c r="L692" i="7"/>
  <c r="O692" i="7" s="1"/>
  <c r="S691" i="7"/>
  <c r="R691" i="7"/>
  <c r="Q691" i="7"/>
  <c r="N691" i="7"/>
  <c r="N690" i="7" s="1"/>
  <c r="M691" i="7"/>
  <c r="P691" i="7" s="1"/>
  <c r="L691" i="7"/>
  <c r="J682" i="7"/>
  <c r="I682" i="7"/>
  <c r="K682" i="7" s="1"/>
  <c r="J681" i="7"/>
  <c r="I681" i="7"/>
  <c r="K681" i="7" s="1"/>
  <c r="J680" i="7"/>
  <c r="J679" i="7"/>
  <c r="I679" i="7"/>
  <c r="K679" i="7" s="1"/>
  <c r="J678" i="7"/>
  <c r="I678" i="7"/>
  <c r="K678" i="7" s="1"/>
  <c r="J677" i="7"/>
  <c r="J676" i="7"/>
  <c r="I676" i="7"/>
  <c r="K676" i="7" s="1"/>
  <c r="I675" i="7"/>
  <c r="K675" i="7" s="1"/>
  <c r="I674" i="7"/>
  <c r="K674" i="7" s="1"/>
  <c r="J673" i="7"/>
  <c r="I673" i="7"/>
  <c r="K673" i="7" s="1"/>
  <c r="J672" i="7"/>
  <c r="J671" i="7"/>
  <c r="J661" i="7"/>
  <c r="I661" i="7"/>
  <c r="K661" i="7" s="1"/>
  <c r="I660" i="7"/>
  <c r="I657" i="7"/>
  <c r="J654" i="7"/>
  <c r="I654" i="7"/>
  <c r="K654" i="7" s="1"/>
  <c r="J653" i="7"/>
  <c r="I653" i="7"/>
  <c r="J652" i="7"/>
  <c r="I652" i="7"/>
  <c r="K652" i="7" s="1"/>
  <c r="U650" i="7"/>
  <c r="T650" i="7"/>
  <c r="P650" i="7"/>
  <c r="O650" i="7"/>
  <c r="U649" i="7"/>
  <c r="T649" i="7"/>
  <c r="P649" i="7"/>
  <c r="O649" i="7"/>
  <c r="S648" i="7"/>
  <c r="R648" i="7"/>
  <c r="U648" i="7" s="1"/>
  <c r="Q648" i="7"/>
  <c r="T648" i="7" s="1"/>
  <c r="N648" i="7"/>
  <c r="M648" i="7"/>
  <c r="P648" i="7" s="1"/>
  <c r="L648" i="7"/>
  <c r="O648" i="7" s="1"/>
  <c r="S647" i="7"/>
  <c r="S644" i="7" s="1"/>
  <c r="S642" i="7" s="1"/>
  <c r="R647" i="7"/>
  <c r="R645" i="7" s="1"/>
  <c r="Q647" i="7"/>
  <c r="P647" i="7"/>
  <c r="O647" i="7"/>
  <c r="U646" i="7"/>
  <c r="T646" i="7"/>
  <c r="P646" i="7"/>
  <c r="O646" i="7"/>
  <c r="P645" i="7"/>
  <c r="O645" i="7"/>
  <c r="N645" i="7"/>
  <c r="M645" i="7"/>
  <c r="L645" i="7"/>
  <c r="N644" i="7"/>
  <c r="M644" i="7"/>
  <c r="L644" i="7"/>
  <c r="O644" i="7" s="1"/>
  <c r="S643" i="7"/>
  <c r="R643" i="7"/>
  <c r="Q643" i="7"/>
  <c r="P643" i="7"/>
  <c r="N643" i="7"/>
  <c r="N642" i="7" s="1"/>
  <c r="M643" i="7"/>
  <c r="L643" i="7"/>
  <c r="J636" i="7"/>
  <c r="J635" i="7"/>
  <c r="I635" i="7"/>
  <c r="K635" i="7" s="1"/>
  <c r="J632" i="7"/>
  <c r="I628" i="7"/>
  <c r="K628" i="7" s="1"/>
  <c r="I627" i="7"/>
  <c r="K627" i="7" s="1"/>
  <c r="J626" i="7"/>
  <c r="I626" i="7"/>
  <c r="K632" i="7" s="1"/>
  <c r="U624" i="7"/>
  <c r="T624" i="7"/>
  <c r="P624" i="7"/>
  <c r="O624" i="7"/>
  <c r="U623" i="7"/>
  <c r="T623" i="7"/>
  <c r="P623" i="7"/>
  <c r="O623" i="7"/>
  <c r="T622" i="7"/>
  <c r="S622" i="7"/>
  <c r="R622" i="7"/>
  <c r="U622" i="7" s="1"/>
  <c r="Q622" i="7"/>
  <c r="N622" i="7"/>
  <c r="M622" i="7"/>
  <c r="P622" i="7" s="1"/>
  <c r="L622" i="7"/>
  <c r="O622" i="7" s="1"/>
  <c r="S621" i="7"/>
  <c r="R621" i="7"/>
  <c r="Q621" i="7"/>
  <c r="Q619" i="7" s="1"/>
  <c r="P621" i="7"/>
  <c r="O621" i="7"/>
  <c r="U620" i="7"/>
  <c r="T620" i="7"/>
  <c r="P620" i="7"/>
  <c r="O620" i="7"/>
  <c r="P619" i="7"/>
  <c r="N619" i="7"/>
  <c r="M619" i="7"/>
  <c r="L619" i="7"/>
  <c r="O619" i="7" s="1"/>
  <c r="O618" i="7"/>
  <c r="N618" i="7"/>
  <c r="N616" i="7" s="1"/>
  <c r="M618" i="7"/>
  <c r="P618" i="7" s="1"/>
  <c r="L618" i="7"/>
  <c r="S617" i="7"/>
  <c r="R617" i="7"/>
  <c r="Q617" i="7"/>
  <c r="T617" i="7" s="1"/>
  <c r="N617" i="7"/>
  <c r="M617" i="7"/>
  <c r="L617" i="7"/>
  <c r="J615" i="7"/>
  <c r="S607" i="7"/>
  <c r="S605" i="7" s="1"/>
  <c r="R607" i="7"/>
  <c r="Q607" i="7"/>
  <c r="N607" i="7"/>
  <c r="N605" i="7" s="1"/>
  <c r="M607" i="7"/>
  <c r="P607" i="7" s="1"/>
  <c r="L607" i="7"/>
  <c r="U606" i="7"/>
  <c r="T606" i="7"/>
  <c r="P606" i="7"/>
  <c r="O606" i="7"/>
  <c r="S604" i="7"/>
  <c r="R604" i="7"/>
  <c r="Q604" i="7"/>
  <c r="N604" i="7"/>
  <c r="N602" i="7" s="1"/>
  <c r="M604" i="7"/>
  <c r="P604" i="7" s="1"/>
  <c r="L604" i="7"/>
  <c r="U603" i="7"/>
  <c r="T603" i="7"/>
  <c r="P603" i="7"/>
  <c r="O603" i="7"/>
  <c r="U600" i="7"/>
  <c r="S600" i="7"/>
  <c r="R600" i="7"/>
  <c r="Q600" i="7"/>
  <c r="T600" i="7" s="1"/>
  <c r="P600" i="7"/>
  <c r="O600" i="7"/>
  <c r="N600" i="7"/>
  <c r="M600" i="7"/>
  <c r="L600" i="7"/>
  <c r="U584" i="7"/>
  <c r="T584" i="7"/>
  <c r="N584" i="7"/>
  <c r="M584" i="7"/>
  <c r="P584" i="7" s="1"/>
  <c r="L584" i="7"/>
  <c r="U583" i="7"/>
  <c r="T583" i="7"/>
  <c r="P583" i="7"/>
  <c r="O583" i="7"/>
  <c r="S582" i="7"/>
  <c r="R582" i="7"/>
  <c r="U582" i="7" s="1"/>
  <c r="Q582" i="7"/>
  <c r="T582" i="7" s="1"/>
  <c r="U581" i="7"/>
  <c r="T581" i="7"/>
  <c r="N581" i="7"/>
  <c r="N579" i="7" s="1"/>
  <c r="M581" i="7"/>
  <c r="P581" i="7" s="1"/>
  <c r="L581" i="7"/>
  <c r="U580" i="7"/>
  <c r="T580" i="7"/>
  <c r="P580" i="7"/>
  <c r="O580" i="7"/>
  <c r="U579" i="7"/>
  <c r="T579" i="7"/>
  <c r="S579" i="7"/>
  <c r="R579" i="7"/>
  <c r="Q579" i="7"/>
  <c r="S578" i="7"/>
  <c r="R578" i="7"/>
  <c r="Q578" i="7"/>
  <c r="U577" i="7"/>
  <c r="S577" i="7"/>
  <c r="R577" i="7"/>
  <c r="Q577" i="7"/>
  <c r="T577" i="7" s="1"/>
  <c r="P577" i="7"/>
  <c r="O577" i="7"/>
  <c r="N577" i="7"/>
  <c r="M577" i="7"/>
  <c r="L577" i="7"/>
  <c r="S576" i="7"/>
  <c r="K575" i="7"/>
  <c r="J575" i="7"/>
  <c r="I575" i="7"/>
  <c r="U563" i="7"/>
  <c r="T563" i="7"/>
  <c r="N563" i="7"/>
  <c r="M563" i="7"/>
  <c r="P563" i="7" s="1"/>
  <c r="L563" i="7"/>
  <c r="U562" i="7"/>
  <c r="T562" i="7"/>
  <c r="P562" i="7"/>
  <c r="O562" i="7"/>
  <c r="U561" i="7"/>
  <c r="T561" i="7"/>
  <c r="S561" i="7"/>
  <c r="R561" i="7"/>
  <c r="Q561" i="7"/>
  <c r="N561" i="7"/>
  <c r="U560" i="7"/>
  <c r="T560" i="7"/>
  <c r="N560" i="7"/>
  <c r="N558" i="7" s="1"/>
  <c r="M560" i="7"/>
  <c r="L560" i="7"/>
  <c r="L558" i="7" s="1"/>
  <c r="O558" i="7" s="1"/>
  <c r="U559" i="7"/>
  <c r="T559" i="7"/>
  <c r="P559" i="7"/>
  <c r="O559" i="7"/>
  <c r="S558" i="7"/>
  <c r="R558" i="7"/>
  <c r="U558" i="7" s="1"/>
  <c r="Q558" i="7"/>
  <c r="T558" i="7" s="1"/>
  <c r="U557" i="7"/>
  <c r="T557" i="7"/>
  <c r="S557" i="7"/>
  <c r="R557" i="7"/>
  <c r="Q557" i="7"/>
  <c r="S556" i="7"/>
  <c r="S555" i="7" s="1"/>
  <c r="R556" i="7"/>
  <c r="Q556" i="7"/>
  <c r="T556" i="7" s="1"/>
  <c r="N556" i="7"/>
  <c r="M556" i="7"/>
  <c r="L556" i="7"/>
  <c r="Q555" i="7"/>
  <c r="T555" i="7" s="1"/>
  <c r="K554" i="7"/>
  <c r="J554" i="7"/>
  <c r="I554" i="7"/>
  <c r="U542" i="7"/>
  <c r="T542" i="7"/>
  <c r="N542" i="7"/>
  <c r="M542" i="7"/>
  <c r="L542" i="7"/>
  <c r="U541" i="7"/>
  <c r="T541" i="7"/>
  <c r="P541" i="7"/>
  <c r="O541" i="7"/>
  <c r="S540" i="7"/>
  <c r="R540" i="7"/>
  <c r="U540" i="7" s="1"/>
  <c r="Q540" i="7"/>
  <c r="T540" i="7" s="1"/>
  <c r="U539" i="7"/>
  <c r="T539" i="7"/>
  <c r="N539" i="7"/>
  <c r="N537" i="7" s="1"/>
  <c r="M539" i="7"/>
  <c r="P539" i="7" s="1"/>
  <c r="L539" i="7"/>
  <c r="U538" i="7"/>
  <c r="T538" i="7"/>
  <c r="P538" i="7"/>
  <c r="O538" i="7"/>
  <c r="T537" i="7"/>
  <c r="S537" i="7"/>
  <c r="R537" i="7"/>
  <c r="U537" i="7" s="1"/>
  <c r="Q537" i="7"/>
  <c r="S536" i="7"/>
  <c r="R536" i="7"/>
  <c r="Q536" i="7"/>
  <c r="U535" i="7"/>
  <c r="S535" i="7"/>
  <c r="R535" i="7"/>
  <c r="Q535" i="7"/>
  <c r="T535" i="7" s="1"/>
  <c r="P535" i="7"/>
  <c r="O535" i="7"/>
  <c r="N535" i="7"/>
  <c r="M535" i="7"/>
  <c r="L535" i="7"/>
  <c r="S534" i="7"/>
  <c r="J533" i="7"/>
  <c r="I533" i="7"/>
  <c r="K533" i="7" s="1"/>
  <c r="K524" i="7"/>
  <c r="K523" i="7"/>
  <c r="U521" i="7"/>
  <c r="T521" i="7"/>
  <c r="N521" i="7"/>
  <c r="M521" i="7"/>
  <c r="L521" i="7"/>
  <c r="O521" i="7" s="1"/>
  <c r="U520" i="7"/>
  <c r="T520" i="7"/>
  <c r="P520" i="7"/>
  <c r="O520" i="7"/>
  <c r="U519" i="7"/>
  <c r="T519" i="7"/>
  <c r="S519" i="7"/>
  <c r="R519" i="7"/>
  <c r="Q519" i="7"/>
  <c r="U518" i="7"/>
  <c r="T518" i="7"/>
  <c r="N518" i="7"/>
  <c r="N516" i="7" s="1"/>
  <c r="M518" i="7"/>
  <c r="P518" i="7" s="1"/>
  <c r="L518" i="7"/>
  <c r="O518" i="7" s="1"/>
  <c r="U517" i="7"/>
  <c r="T517" i="7"/>
  <c r="P517" i="7"/>
  <c r="O517" i="7"/>
  <c r="S516" i="7"/>
  <c r="R516" i="7"/>
  <c r="U516" i="7" s="1"/>
  <c r="Q516" i="7"/>
  <c r="T516" i="7" s="1"/>
  <c r="U515" i="7"/>
  <c r="S515" i="7"/>
  <c r="R515" i="7"/>
  <c r="Q515" i="7"/>
  <c r="U514" i="7"/>
  <c r="T514" i="7"/>
  <c r="S514" i="7"/>
  <c r="R514" i="7"/>
  <c r="Q514" i="7"/>
  <c r="O514" i="7"/>
  <c r="N514" i="7"/>
  <c r="M514" i="7"/>
  <c r="P514" i="7" s="1"/>
  <c r="L514" i="7"/>
  <c r="S513" i="7"/>
  <c r="R513" i="7"/>
  <c r="U513" i="7" s="1"/>
  <c r="K512" i="7"/>
  <c r="J512" i="7"/>
  <c r="I512" i="7"/>
  <c r="I509" i="7"/>
  <c r="K509" i="7" s="1"/>
  <c r="K508" i="7"/>
  <c r="I507" i="7"/>
  <c r="K507" i="7" s="1"/>
  <c r="I506" i="7"/>
  <c r="K506" i="7" s="1"/>
  <c r="I505" i="7"/>
  <c r="K505" i="7" s="1"/>
  <c r="I504" i="7"/>
  <c r="K504" i="7" s="1"/>
  <c r="I503" i="7"/>
  <c r="K503" i="7" s="1"/>
  <c r="U501" i="7"/>
  <c r="T501" i="7"/>
  <c r="N501" i="7"/>
  <c r="N499" i="7" s="1"/>
  <c r="M501" i="7"/>
  <c r="L501" i="7"/>
  <c r="U500" i="7"/>
  <c r="T500" i="7"/>
  <c r="P500" i="7"/>
  <c r="O500" i="7"/>
  <c r="U499" i="7"/>
  <c r="T499" i="7"/>
  <c r="S499" i="7"/>
  <c r="R499" i="7"/>
  <c r="Q499" i="7"/>
  <c r="S498" i="7"/>
  <c r="S496" i="7" s="1"/>
  <c r="R498" i="7"/>
  <c r="R495" i="7" s="1"/>
  <c r="U495" i="7" s="1"/>
  <c r="Q498" i="7"/>
  <c r="Q496" i="7" s="1"/>
  <c r="T496" i="7" s="1"/>
  <c r="N498" i="7"/>
  <c r="M498" i="7"/>
  <c r="L498" i="7"/>
  <c r="U497" i="7"/>
  <c r="T497" i="7"/>
  <c r="P497" i="7"/>
  <c r="O497" i="7"/>
  <c r="U494" i="7"/>
  <c r="S494" i="7"/>
  <c r="R494" i="7"/>
  <c r="Q494" i="7"/>
  <c r="P494" i="7"/>
  <c r="O494" i="7"/>
  <c r="N494" i="7"/>
  <c r="M494" i="7"/>
  <c r="L494" i="7"/>
  <c r="J485" i="7"/>
  <c r="I485" i="7"/>
  <c r="K485" i="7" s="1"/>
  <c r="J484" i="7"/>
  <c r="I484" i="7"/>
  <c r="K484" i="7" s="1"/>
  <c r="J483" i="7"/>
  <c r="J482" i="7"/>
  <c r="K477" i="7"/>
  <c r="J477" i="7"/>
  <c r="K476" i="7"/>
  <c r="J476" i="7"/>
  <c r="K475" i="7"/>
  <c r="J475" i="7"/>
  <c r="J468" i="7"/>
  <c r="J467" i="7"/>
  <c r="J460" i="7"/>
  <c r="J458" i="7" s="1"/>
  <c r="J459" i="7"/>
  <c r="J457" i="7" s="1"/>
  <c r="J456" i="7" s="1"/>
  <c r="I458" i="7"/>
  <c r="K458" i="7" s="1"/>
  <c r="I457" i="7"/>
  <c r="J447" i="7"/>
  <c r="J441" i="7" s="1"/>
  <c r="J446" i="7"/>
  <c r="I441" i="7"/>
  <c r="K441" i="7" s="1"/>
  <c r="J440" i="7"/>
  <c r="J423" i="7" s="1"/>
  <c r="J412" i="7" s="1"/>
  <c r="I440" i="7"/>
  <c r="I423" i="7" s="1"/>
  <c r="I412" i="7" s="1"/>
  <c r="K412" i="7" s="1"/>
  <c r="J433" i="7"/>
  <c r="I433" i="7"/>
  <c r="K433" i="7" s="1"/>
  <c r="J432" i="7"/>
  <c r="I432" i="7"/>
  <c r="K432" i="7" s="1"/>
  <c r="J425" i="7"/>
  <c r="I425" i="7"/>
  <c r="K425" i="7" s="1"/>
  <c r="J424" i="7"/>
  <c r="I424" i="7"/>
  <c r="K424" i="7" s="1"/>
  <c r="U421" i="7"/>
  <c r="T421" i="7"/>
  <c r="N421" i="7"/>
  <c r="N419" i="7" s="1"/>
  <c r="M421" i="7"/>
  <c r="L421" i="7"/>
  <c r="U420" i="7"/>
  <c r="T420" i="7"/>
  <c r="P420" i="7"/>
  <c r="O420" i="7"/>
  <c r="S419" i="7"/>
  <c r="R419" i="7"/>
  <c r="U419" i="7" s="1"/>
  <c r="Q419" i="7"/>
  <c r="T419" i="7" s="1"/>
  <c r="S418" i="7"/>
  <c r="S416" i="7" s="1"/>
  <c r="R418" i="7"/>
  <c r="Q418" i="7"/>
  <c r="Q415" i="7" s="1"/>
  <c r="N418" i="7"/>
  <c r="N416" i="7" s="1"/>
  <c r="M418" i="7"/>
  <c r="P418" i="7" s="1"/>
  <c r="L418" i="7"/>
  <c r="U417" i="7"/>
  <c r="T417" i="7"/>
  <c r="P417" i="7"/>
  <c r="O417" i="7"/>
  <c r="U414" i="7"/>
  <c r="T414" i="7"/>
  <c r="S414" i="7"/>
  <c r="R414" i="7"/>
  <c r="Q414" i="7"/>
  <c r="O414" i="7"/>
  <c r="N414" i="7"/>
  <c r="M414" i="7"/>
  <c r="L414" i="7"/>
  <c r="U400" i="7"/>
  <c r="T400" i="7"/>
  <c r="P400" i="7"/>
  <c r="O400" i="7"/>
  <c r="U399" i="7"/>
  <c r="T399" i="7"/>
  <c r="P399" i="7"/>
  <c r="O399" i="7"/>
  <c r="U398" i="7"/>
  <c r="T398" i="7"/>
  <c r="S398" i="7"/>
  <c r="R398" i="7"/>
  <c r="Q398" i="7"/>
  <c r="P398" i="7"/>
  <c r="O398" i="7"/>
  <c r="N398" i="7"/>
  <c r="M398" i="7"/>
  <c r="L398" i="7"/>
  <c r="S397" i="7"/>
  <c r="R397" i="7"/>
  <c r="Q397" i="7"/>
  <c r="Q395" i="7" s="1"/>
  <c r="T395" i="7" s="1"/>
  <c r="P397" i="7"/>
  <c r="O397" i="7"/>
  <c r="U396" i="7"/>
  <c r="T396" i="7"/>
  <c r="P396" i="7"/>
  <c r="O396" i="7"/>
  <c r="N395" i="7"/>
  <c r="M395" i="7"/>
  <c r="P395" i="7" s="1"/>
  <c r="L395" i="7"/>
  <c r="O395" i="7" s="1"/>
  <c r="P394" i="7"/>
  <c r="O394" i="7"/>
  <c r="N394" i="7"/>
  <c r="M394" i="7"/>
  <c r="L394" i="7"/>
  <c r="L392" i="7" s="1"/>
  <c r="O392" i="7" s="1"/>
  <c r="U393" i="7"/>
  <c r="T393" i="7"/>
  <c r="S393" i="7"/>
  <c r="R393" i="7"/>
  <c r="Q393" i="7"/>
  <c r="O393" i="7"/>
  <c r="N393" i="7"/>
  <c r="M393" i="7"/>
  <c r="L393" i="7"/>
  <c r="N392" i="7"/>
  <c r="K391" i="7"/>
  <c r="J391" i="7"/>
  <c r="I391" i="7"/>
  <c r="J388" i="7"/>
  <c r="I388" i="7"/>
  <c r="K388" i="7" s="1"/>
  <c r="K387" i="7"/>
  <c r="J387" i="7"/>
  <c r="J386" i="7"/>
  <c r="I386" i="7"/>
  <c r="K385" i="7"/>
  <c r="J385" i="7"/>
  <c r="U383" i="7"/>
  <c r="T383" i="7"/>
  <c r="N383" i="7"/>
  <c r="N381" i="7" s="1"/>
  <c r="M383" i="7"/>
  <c r="L383" i="7"/>
  <c r="U382" i="7"/>
  <c r="T382" i="7"/>
  <c r="P382" i="7"/>
  <c r="O382" i="7"/>
  <c r="U381" i="7"/>
  <c r="S381" i="7"/>
  <c r="R381" i="7"/>
  <c r="Q381" i="7"/>
  <c r="T381" i="7" s="1"/>
  <c r="S380" i="7"/>
  <c r="R380" i="7"/>
  <c r="R378" i="7" s="1"/>
  <c r="Q380" i="7"/>
  <c r="Q377" i="7" s="1"/>
  <c r="N380" i="7"/>
  <c r="M380" i="7"/>
  <c r="L380" i="7"/>
  <c r="U379" i="7"/>
  <c r="T379" i="7"/>
  <c r="P379" i="7"/>
  <c r="O379" i="7"/>
  <c r="S376" i="7"/>
  <c r="R376" i="7"/>
  <c r="U376" i="7" s="1"/>
  <c r="Q376" i="7"/>
  <c r="T376" i="7" s="1"/>
  <c r="N376" i="7"/>
  <c r="M376" i="7"/>
  <c r="L376" i="7"/>
  <c r="O376" i="7" s="1"/>
  <c r="D373" i="7"/>
  <c r="K372" i="7"/>
  <c r="J372" i="7"/>
  <c r="J371" i="7"/>
  <c r="J365" i="7" s="1"/>
  <c r="I371" i="7"/>
  <c r="I365" i="7" s="1"/>
  <c r="K370" i="7"/>
  <c r="J370" i="7"/>
  <c r="J369" i="7"/>
  <c r="I369" i="7"/>
  <c r="J368" i="7"/>
  <c r="I368" i="7"/>
  <c r="K367" i="7"/>
  <c r="J367" i="7"/>
  <c r="U364" i="7"/>
  <c r="T364" i="7"/>
  <c r="N364" i="7"/>
  <c r="M364" i="7"/>
  <c r="M362" i="7" s="1"/>
  <c r="P362" i="7" s="1"/>
  <c r="L364" i="7"/>
  <c r="U363" i="7"/>
  <c r="T363" i="7"/>
  <c r="P363" i="7"/>
  <c r="O363" i="7"/>
  <c r="S362" i="7"/>
  <c r="R362" i="7"/>
  <c r="U362" i="7" s="1"/>
  <c r="Q362" i="7"/>
  <c r="T362" i="7" s="1"/>
  <c r="U361" i="7"/>
  <c r="T361" i="7"/>
  <c r="N361" i="7"/>
  <c r="N359" i="7" s="1"/>
  <c r="M361" i="7"/>
  <c r="M359" i="7" s="1"/>
  <c r="L361" i="7"/>
  <c r="L359" i="7" s="1"/>
  <c r="U360" i="7"/>
  <c r="T360" i="7"/>
  <c r="P360" i="7"/>
  <c r="O360" i="7"/>
  <c r="U359" i="7"/>
  <c r="T359" i="7"/>
  <c r="S359" i="7"/>
  <c r="R359" i="7"/>
  <c r="Q359" i="7"/>
  <c r="S358" i="7"/>
  <c r="R358" i="7"/>
  <c r="U358" i="7" s="1"/>
  <c r="Q358" i="7"/>
  <c r="T358" i="7" s="1"/>
  <c r="U357" i="7"/>
  <c r="S357" i="7"/>
  <c r="R357" i="7"/>
  <c r="R356" i="7" s="1"/>
  <c r="U356" i="7" s="1"/>
  <c r="Q357" i="7"/>
  <c r="P357" i="7"/>
  <c r="O357" i="7"/>
  <c r="N357" i="7"/>
  <c r="M357" i="7"/>
  <c r="L357" i="7"/>
  <c r="S356" i="7"/>
  <c r="J354" i="7"/>
  <c r="J353" i="7"/>
  <c r="J352" i="7"/>
  <c r="D350" i="7"/>
  <c r="J349" i="7"/>
  <c r="J348" i="7"/>
  <c r="J347" i="7"/>
  <c r="J346" i="7"/>
  <c r="I346" i="7"/>
  <c r="K344" i="7"/>
  <c r="J344" i="7"/>
  <c r="U341" i="7"/>
  <c r="T341" i="7"/>
  <c r="N341" i="7"/>
  <c r="N339" i="7" s="1"/>
  <c r="M341" i="7"/>
  <c r="M339" i="7" s="1"/>
  <c r="P339" i="7" s="1"/>
  <c r="L341" i="7"/>
  <c r="L339" i="7" s="1"/>
  <c r="O339" i="7" s="1"/>
  <c r="U340" i="7"/>
  <c r="T340" i="7"/>
  <c r="P340" i="7"/>
  <c r="O340" i="7"/>
  <c r="T339" i="7"/>
  <c r="S339" i="7"/>
  <c r="R339" i="7"/>
  <c r="U339" i="7" s="1"/>
  <c r="Q339" i="7"/>
  <c r="U338" i="7"/>
  <c r="T338" i="7"/>
  <c r="N338" i="7"/>
  <c r="M338" i="7"/>
  <c r="L338" i="7"/>
  <c r="L336" i="7" s="1"/>
  <c r="U337" i="7"/>
  <c r="T337" i="7"/>
  <c r="P337" i="7"/>
  <c r="O337" i="7"/>
  <c r="U336" i="7"/>
  <c r="S336" i="7"/>
  <c r="R336" i="7"/>
  <c r="Q336" i="7"/>
  <c r="T336" i="7" s="1"/>
  <c r="U335" i="7"/>
  <c r="T335" i="7"/>
  <c r="S335" i="7"/>
  <c r="R335" i="7"/>
  <c r="Q335" i="7"/>
  <c r="S334" i="7"/>
  <c r="S333" i="7" s="1"/>
  <c r="R334" i="7"/>
  <c r="U334" i="7" s="1"/>
  <c r="Q334" i="7"/>
  <c r="T334" i="7" s="1"/>
  <c r="N334" i="7"/>
  <c r="M334" i="7"/>
  <c r="L334" i="7"/>
  <c r="O334" i="7" s="1"/>
  <c r="U333" i="7"/>
  <c r="R333" i="7"/>
  <c r="Q333" i="7"/>
  <c r="T333" i="7" s="1"/>
  <c r="I332" i="7"/>
  <c r="I330" i="7"/>
  <c r="I319" i="7" s="1"/>
  <c r="K319" i="7" s="1"/>
  <c r="U328" i="7"/>
  <c r="T328" i="7"/>
  <c r="N328" i="7"/>
  <c r="N326" i="7" s="1"/>
  <c r="M328" i="7"/>
  <c r="P328" i="7" s="1"/>
  <c r="L328" i="7"/>
  <c r="L326" i="7" s="1"/>
  <c r="O326" i="7" s="1"/>
  <c r="U327" i="7"/>
  <c r="T327" i="7"/>
  <c r="P327" i="7"/>
  <c r="O327" i="7"/>
  <c r="S326" i="7"/>
  <c r="R326" i="7"/>
  <c r="U326" i="7" s="1"/>
  <c r="Q326" i="7"/>
  <c r="T326" i="7" s="1"/>
  <c r="U325" i="7"/>
  <c r="T325" i="7"/>
  <c r="N325" i="7"/>
  <c r="M325" i="7"/>
  <c r="P325" i="7" s="1"/>
  <c r="L325" i="7"/>
  <c r="U324" i="7"/>
  <c r="T324" i="7"/>
  <c r="P324" i="7"/>
  <c r="O324" i="7"/>
  <c r="U323" i="7"/>
  <c r="T323" i="7"/>
  <c r="S323" i="7"/>
  <c r="R323" i="7"/>
  <c r="Q323" i="7"/>
  <c r="T322" i="7"/>
  <c r="S322" i="7"/>
  <c r="R322" i="7"/>
  <c r="U322" i="7" s="1"/>
  <c r="Q322" i="7"/>
  <c r="S321" i="7"/>
  <c r="S320" i="7" s="1"/>
  <c r="R321" i="7"/>
  <c r="Q321" i="7"/>
  <c r="T321" i="7" s="1"/>
  <c r="P321" i="7"/>
  <c r="N321" i="7"/>
  <c r="M321" i="7"/>
  <c r="L321" i="7"/>
  <c r="Q320" i="7"/>
  <c r="T320" i="7" s="1"/>
  <c r="J319" i="7"/>
  <c r="I314" i="7"/>
  <c r="U311" i="7"/>
  <c r="T311" i="7"/>
  <c r="N311" i="7"/>
  <c r="N309" i="7" s="1"/>
  <c r="M311" i="7"/>
  <c r="L311" i="7"/>
  <c r="L309" i="7" s="1"/>
  <c r="O309" i="7" s="1"/>
  <c r="U310" i="7"/>
  <c r="T310" i="7"/>
  <c r="P310" i="7"/>
  <c r="O310" i="7"/>
  <c r="S309" i="7"/>
  <c r="R309" i="7"/>
  <c r="U309" i="7" s="1"/>
  <c r="Q309" i="7"/>
  <c r="T309" i="7" s="1"/>
  <c r="S308" i="7"/>
  <c r="R308" i="7"/>
  <c r="R305" i="7" s="1"/>
  <c r="Q308" i="7"/>
  <c r="Q306" i="7" s="1"/>
  <c r="N308" i="7"/>
  <c r="N306" i="7" s="1"/>
  <c r="M308" i="7"/>
  <c r="L308" i="7"/>
  <c r="O308" i="7" s="1"/>
  <c r="U307" i="7"/>
  <c r="T307" i="7"/>
  <c r="P307" i="7"/>
  <c r="O307" i="7"/>
  <c r="T304" i="7"/>
  <c r="S304" i="7"/>
  <c r="R304" i="7"/>
  <c r="Q304" i="7"/>
  <c r="O304" i="7"/>
  <c r="N304" i="7"/>
  <c r="M304" i="7"/>
  <c r="P304" i="7" s="1"/>
  <c r="L304" i="7"/>
  <c r="J302" i="7"/>
  <c r="I296" i="7"/>
  <c r="K296" i="7" s="1"/>
  <c r="I295" i="7"/>
  <c r="K295" i="7" s="1"/>
  <c r="J293" i="7"/>
  <c r="I293" i="7"/>
  <c r="I280" i="7" s="1"/>
  <c r="K280" i="7" s="1"/>
  <c r="I292" i="7"/>
  <c r="I281" i="7" s="1"/>
  <c r="K281" i="7" s="1"/>
  <c r="U290" i="7"/>
  <c r="T290" i="7"/>
  <c r="N290" i="7"/>
  <c r="N288" i="7" s="1"/>
  <c r="M290" i="7"/>
  <c r="L290" i="7"/>
  <c r="O290" i="7" s="1"/>
  <c r="U289" i="7"/>
  <c r="T289" i="7"/>
  <c r="P289" i="7"/>
  <c r="O289" i="7"/>
  <c r="U288" i="7"/>
  <c r="T288" i="7"/>
  <c r="S288" i="7"/>
  <c r="R288" i="7"/>
  <c r="Q288" i="7"/>
  <c r="U287" i="7"/>
  <c r="T287" i="7"/>
  <c r="N287" i="7"/>
  <c r="M287" i="7"/>
  <c r="P287" i="7" s="1"/>
  <c r="L287" i="7"/>
  <c r="U286" i="7"/>
  <c r="T286" i="7"/>
  <c r="P286" i="7"/>
  <c r="O286" i="7"/>
  <c r="S285" i="7"/>
  <c r="R285" i="7"/>
  <c r="U285" i="7" s="1"/>
  <c r="Q285" i="7"/>
  <c r="T285" i="7" s="1"/>
  <c r="U284" i="7"/>
  <c r="S284" i="7"/>
  <c r="R284" i="7"/>
  <c r="Q284" i="7"/>
  <c r="T283" i="7"/>
  <c r="S283" i="7"/>
  <c r="R283" i="7"/>
  <c r="R282" i="7" s="1"/>
  <c r="U282" i="7" s="1"/>
  <c r="Q283" i="7"/>
  <c r="O283" i="7"/>
  <c r="N283" i="7"/>
  <c r="M283" i="7"/>
  <c r="P283" i="7" s="1"/>
  <c r="L283" i="7"/>
  <c r="S282" i="7"/>
  <c r="J281" i="7"/>
  <c r="J280" i="7"/>
  <c r="I276" i="7"/>
  <c r="K276" i="7" s="1"/>
  <c r="U274" i="7"/>
  <c r="T274" i="7"/>
  <c r="N274" i="7"/>
  <c r="N272" i="7" s="1"/>
  <c r="M274" i="7"/>
  <c r="M272" i="7" s="1"/>
  <c r="P272" i="7" s="1"/>
  <c r="L274" i="7"/>
  <c r="L272" i="7" s="1"/>
  <c r="O272" i="7" s="1"/>
  <c r="U273" i="7"/>
  <c r="T273" i="7"/>
  <c r="P273" i="7"/>
  <c r="O273" i="7"/>
  <c r="S272" i="7"/>
  <c r="R272" i="7"/>
  <c r="U272" i="7" s="1"/>
  <c r="Q272" i="7"/>
  <c r="T272" i="7" s="1"/>
  <c r="S271" i="7"/>
  <c r="R271" i="7"/>
  <c r="R269" i="7" s="1"/>
  <c r="Q271" i="7"/>
  <c r="Q269" i="7" s="1"/>
  <c r="N271" i="7"/>
  <c r="M271" i="7"/>
  <c r="L271" i="7"/>
  <c r="U270" i="7"/>
  <c r="T270" i="7"/>
  <c r="P270" i="7"/>
  <c r="O270" i="7"/>
  <c r="S267" i="7"/>
  <c r="R267" i="7"/>
  <c r="U267" i="7" s="1"/>
  <c r="Q267" i="7"/>
  <c r="T267" i="7" s="1"/>
  <c r="N267" i="7"/>
  <c r="M267" i="7"/>
  <c r="L267" i="7"/>
  <c r="O267" i="7" s="1"/>
  <c r="J265" i="7"/>
  <c r="K263" i="7"/>
  <c r="K262" i="7"/>
  <c r="I260" i="7"/>
  <c r="I253" i="7" s="1"/>
  <c r="L258" i="7"/>
  <c r="L257" i="7"/>
  <c r="L256" i="7"/>
  <c r="L255" i="7"/>
  <c r="P254" i="7"/>
  <c r="N254" i="7"/>
  <c r="J253" i="7"/>
  <c r="K252" i="7"/>
  <c r="K251" i="7"/>
  <c r="I249" i="7"/>
  <c r="I242" i="7" s="1"/>
  <c r="K242" i="7" s="1"/>
  <c r="L247" i="7"/>
  <c r="L246" i="7"/>
  <c r="L245" i="7"/>
  <c r="L244" i="7"/>
  <c r="P243" i="7"/>
  <c r="N243" i="7"/>
  <c r="J242" i="7"/>
  <c r="J241" i="7"/>
  <c r="I241" i="7"/>
  <c r="K241" i="7" s="1"/>
  <c r="K240" i="7"/>
  <c r="J240" i="7"/>
  <c r="I240" i="7"/>
  <c r="J238" i="7"/>
  <c r="N236" i="7"/>
  <c r="N235" i="7"/>
  <c r="N234" i="7"/>
  <c r="N233" i="7"/>
  <c r="N232" i="7"/>
  <c r="J231" i="7"/>
  <c r="I230" i="7"/>
  <c r="K230" i="7" s="1"/>
  <c r="I229" i="7"/>
  <c r="I228" i="7"/>
  <c r="K228" i="7" s="1"/>
  <c r="L225" i="7"/>
  <c r="L224" i="7"/>
  <c r="L223" i="7"/>
  <c r="P222" i="7"/>
  <c r="N222" i="7"/>
  <c r="J221" i="7"/>
  <c r="I220" i="7"/>
  <c r="K220" i="7" s="1"/>
  <c r="I219" i="7"/>
  <c r="K219" i="7" s="1"/>
  <c r="Q217" i="7"/>
  <c r="Q214" i="7" s="1"/>
  <c r="T214" i="7" s="1"/>
  <c r="L217" i="7"/>
  <c r="L216" i="7"/>
  <c r="L215" i="7"/>
  <c r="U214" i="7"/>
  <c r="S214" i="7"/>
  <c r="P214" i="7"/>
  <c r="N214" i="7"/>
  <c r="J213" i="7"/>
  <c r="I212" i="7"/>
  <c r="K212" i="7" s="1"/>
  <c r="I211" i="7"/>
  <c r="K211" i="7" s="1"/>
  <c r="I209" i="7"/>
  <c r="L207" i="7"/>
  <c r="Q206" i="7"/>
  <c r="Q203" i="7" s="1"/>
  <c r="T203" i="7" s="1"/>
  <c r="L206" i="7"/>
  <c r="L205" i="7"/>
  <c r="L204" i="7"/>
  <c r="U203" i="7"/>
  <c r="S203" i="7"/>
  <c r="P203" i="7"/>
  <c r="N203" i="7"/>
  <c r="J202" i="7"/>
  <c r="J199" i="7"/>
  <c r="I198" i="7"/>
  <c r="I195" i="7" s="1"/>
  <c r="K195" i="7" s="1"/>
  <c r="P196" i="7"/>
  <c r="L196" i="7"/>
  <c r="O196" i="7" s="1"/>
  <c r="J195" i="7"/>
  <c r="S194" i="7"/>
  <c r="R194" i="7"/>
  <c r="U194" i="7" s="1"/>
  <c r="Q194" i="7"/>
  <c r="N194" i="7"/>
  <c r="N192" i="7" s="1"/>
  <c r="M194" i="7"/>
  <c r="P194" i="7" s="1"/>
  <c r="L194" i="7"/>
  <c r="O194" i="7" s="1"/>
  <c r="U193" i="7"/>
  <c r="T193" i="7"/>
  <c r="P193" i="7"/>
  <c r="O193" i="7"/>
  <c r="S191" i="7"/>
  <c r="S189" i="7" s="1"/>
  <c r="R191" i="7"/>
  <c r="Q191" i="7"/>
  <c r="Q189" i="7" s="1"/>
  <c r="T189" i="7" s="1"/>
  <c r="N191" i="7"/>
  <c r="M191" i="7"/>
  <c r="M189" i="7" s="1"/>
  <c r="L191" i="7"/>
  <c r="U190" i="7"/>
  <c r="T190" i="7"/>
  <c r="P190" i="7"/>
  <c r="O190" i="7"/>
  <c r="T187" i="7"/>
  <c r="S187" i="7"/>
  <c r="R187" i="7"/>
  <c r="Q187" i="7"/>
  <c r="O187" i="7"/>
  <c r="N187" i="7"/>
  <c r="M187" i="7"/>
  <c r="P187" i="7" s="1"/>
  <c r="L187" i="7"/>
  <c r="J185" i="7"/>
  <c r="K184" i="7"/>
  <c r="I183" i="7"/>
  <c r="I172" i="7" s="1"/>
  <c r="U181" i="7"/>
  <c r="T181" i="7"/>
  <c r="N181" i="7"/>
  <c r="N179" i="7" s="1"/>
  <c r="M181" i="7"/>
  <c r="L181" i="7"/>
  <c r="U180" i="7"/>
  <c r="T180" i="7"/>
  <c r="P180" i="7"/>
  <c r="O180" i="7"/>
  <c r="T179" i="7"/>
  <c r="S179" i="7"/>
  <c r="R179" i="7"/>
  <c r="U179" i="7" s="1"/>
  <c r="Q179" i="7"/>
  <c r="S178" i="7"/>
  <c r="S176" i="7" s="1"/>
  <c r="R178" i="7"/>
  <c r="R175" i="7" s="1"/>
  <c r="Q178" i="7"/>
  <c r="Q175" i="7" s="1"/>
  <c r="N178" i="7"/>
  <c r="M178" i="7"/>
  <c r="M176" i="7" s="1"/>
  <c r="L178" i="7"/>
  <c r="U177" i="7"/>
  <c r="T177" i="7"/>
  <c r="P177" i="7"/>
  <c r="O177" i="7"/>
  <c r="T174" i="7"/>
  <c r="S174" i="7"/>
  <c r="R174" i="7"/>
  <c r="Q174" i="7"/>
  <c r="P174" i="7"/>
  <c r="N174" i="7"/>
  <c r="M174" i="7"/>
  <c r="L174" i="7"/>
  <c r="J172" i="7"/>
  <c r="I169" i="7"/>
  <c r="I156" i="7" s="1"/>
  <c r="K156" i="7" s="1"/>
  <c r="I168" i="7"/>
  <c r="K168" i="7" s="1"/>
  <c r="I167" i="7"/>
  <c r="K167" i="7" s="1"/>
  <c r="U165" i="7"/>
  <c r="T165" i="7"/>
  <c r="N165" i="7"/>
  <c r="N163" i="7" s="1"/>
  <c r="M165" i="7"/>
  <c r="M163" i="7" s="1"/>
  <c r="P163" i="7" s="1"/>
  <c r="L165" i="7"/>
  <c r="U164" i="7"/>
  <c r="T164" i="7"/>
  <c r="P164" i="7"/>
  <c r="O164" i="7"/>
  <c r="T163" i="7"/>
  <c r="S163" i="7"/>
  <c r="R163" i="7"/>
  <c r="U163" i="7" s="1"/>
  <c r="Q163" i="7"/>
  <c r="S162" i="7"/>
  <c r="R162" i="7"/>
  <c r="R159" i="7" s="1"/>
  <c r="U159" i="7" s="1"/>
  <c r="Q162" i="7"/>
  <c r="T162" i="7" s="1"/>
  <c r="N162" i="7"/>
  <c r="N160" i="7" s="1"/>
  <c r="M162" i="7"/>
  <c r="M160" i="7" s="1"/>
  <c r="P160" i="7" s="1"/>
  <c r="L162" i="7"/>
  <c r="U161" i="7"/>
  <c r="T161" i="7"/>
  <c r="P161" i="7"/>
  <c r="O161" i="7"/>
  <c r="T158" i="7"/>
  <c r="S158" i="7"/>
  <c r="R158" i="7"/>
  <c r="Q158" i="7"/>
  <c r="P158" i="7"/>
  <c r="N158" i="7"/>
  <c r="M158" i="7"/>
  <c r="L158" i="7"/>
  <c r="J156" i="7"/>
  <c r="I154" i="7"/>
  <c r="K154" i="7" s="1"/>
  <c r="I153" i="7"/>
  <c r="K153" i="7" s="1"/>
  <c r="I152" i="7"/>
  <c r="K152" i="7" s="1"/>
  <c r="I151" i="7"/>
  <c r="K151" i="7" s="1"/>
  <c r="I150" i="7"/>
  <c r="K150" i="7" s="1"/>
  <c r="S147" i="7"/>
  <c r="S145" i="7" s="1"/>
  <c r="R147" i="7"/>
  <c r="U147" i="7" s="1"/>
  <c r="Q147" i="7"/>
  <c r="T147" i="7" s="1"/>
  <c r="N147" i="7"/>
  <c r="M147" i="7"/>
  <c r="L147" i="7"/>
  <c r="O147" i="7" s="1"/>
  <c r="U146" i="7"/>
  <c r="T146" i="7"/>
  <c r="P146" i="7"/>
  <c r="O146" i="7"/>
  <c r="S144" i="7"/>
  <c r="S142" i="7" s="1"/>
  <c r="R144" i="7"/>
  <c r="U144" i="7" s="1"/>
  <c r="Q144" i="7"/>
  <c r="T144" i="7" s="1"/>
  <c r="N144" i="7"/>
  <c r="N142" i="7" s="1"/>
  <c r="M144" i="7"/>
  <c r="L144" i="7"/>
  <c r="O144" i="7" s="1"/>
  <c r="U143" i="7"/>
  <c r="T143" i="7"/>
  <c r="P143" i="7"/>
  <c r="O143" i="7"/>
  <c r="U140" i="7"/>
  <c r="S140" i="7"/>
  <c r="R140" i="7"/>
  <c r="Q140" i="7"/>
  <c r="T140" i="7" s="1"/>
  <c r="O140" i="7"/>
  <c r="N140" i="7"/>
  <c r="M140" i="7"/>
  <c r="L140" i="7"/>
  <c r="J138" i="7"/>
  <c r="J137" i="7"/>
  <c r="J136" i="7"/>
  <c r="I130" i="7"/>
  <c r="K130" i="7" s="1"/>
  <c r="I129" i="7"/>
  <c r="K129" i="7" s="1"/>
  <c r="I128" i="7"/>
  <c r="K128" i="7" s="1"/>
  <c r="I127" i="7"/>
  <c r="K127" i="7" s="1"/>
  <c r="S125" i="7"/>
  <c r="S123" i="7" s="1"/>
  <c r="R125" i="7"/>
  <c r="U125" i="7" s="1"/>
  <c r="Q125" i="7"/>
  <c r="Q123" i="7" s="1"/>
  <c r="T123" i="7" s="1"/>
  <c r="N125" i="7"/>
  <c r="N123" i="7" s="1"/>
  <c r="M125" i="7"/>
  <c r="M123" i="7" s="1"/>
  <c r="L125" i="7"/>
  <c r="L123" i="7" s="1"/>
  <c r="U124" i="7"/>
  <c r="T124" i="7"/>
  <c r="P124" i="7"/>
  <c r="O124" i="7"/>
  <c r="S122" i="7"/>
  <c r="S120" i="7" s="1"/>
  <c r="R122" i="7"/>
  <c r="Q122" i="7"/>
  <c r="N122" i="7"/>
  <c r="M122" i="7"/>
  <c r="M120" i="7" s="1"/>
  <c r="L122" i="7"/>
  <c r="O122" i="7" s="1"/>
  <c r="U121" i="7"/>
  <c r="T121" i="7"/>
  <c r="P121" i="7"/>
  <c r="O121" i="7"/>
  <c r="T118" i="7"/>
  <c r="S118" i="7"/>
  <c r="R118" i="7"/>
  <c r="U118" i="7" s="1"/>
  <c r="Q118" i="7"/>
  <c r="P118" i="7"/>
  <c r="N118" i="7"/>
  <c r="M118" i="7"/>
  <c r="L118" i="7"/>
  <c r="O118" i="7" s="1"/>
  <c r="J116" i="7"/>
  <c r="I114" i="7"/>
  <c r="K114" i="7" s="1"/>
  <c r="I109" i="7"/>
  <c r="I93" i="7" s="1"/>
  <c r="K93" i="7" s="1"/>
  <c r="I108" i="7"/>
  <c r="K108" i="7" s="1"/>
  <c r="U102" i="7"/>
  <c r="T102" i="7"/>
  <c r="N102" i="7"/>
  <c r="N100" i="7" s="1"/>
  <c r="M102" i="7"/>
  <c r="M100" i="7" s="1"/>
  <c r="P100" i="7" s="1"/>
  <c r="L102" i="7"/>
  <c r="O102" i="7" s="1"/>
  <c r="U101" i="7"/>
  <c r="T101" i="7"/>
  <c r="P101" i="7"/>
  <c r="O101" i="7"/>
  <c r="T100" i="7"/>
  <c r="S100" i="7"/>
  <c r="R100" i="7"/>
  <c r="U100" i="7" s="1"/>
  <c r="Q100" i="7"/>
  <c r="S99" i="7"/>
  <c r="S97" i="7" s="1"/>
  <c r="R99" i="7"/>
  <c r="Q99" i="7"/>
  <c r="T99" i="7" s="1"/>
  <c r="N99" i="7"/>
  <c r="N97" i="7" s="1"/>
  <c r="M99" i="7"/>
  <c r="M97" i="7" s="1"/>
  <c r="P97" i="7" s="1"/>
  <c r="L99" i="7"/>
  <c r="O99" i="7" s="1"/>
  <c r="U98" i="7"/>
  <c r="T98" i="7"/>
  <c r="P98" i="7"/>
  <c r="O98" i="7"/>
  <c r="T95" i="7"/>
  <c r="S95" i="7"/>
  <c r="R95" i="7"/>
  <c r="U95" i="7" s="1"/>
  <c r="Q95" i="7"/>
  <c r="P95" i="7"/>
  <c r="N95" i="7"/>
  <c r="M95" i="7"/>
  <c r="L95" i="7"/>
  <c r="O95" i="7" s="1"/>
  <c r="J93" i="7"/>
  <c r="J92" i="7"/>
  <c r="I90" i="7"/>
  <c r="K90" i="7" s="1"/>
  <c r="I89" i="7"/>
  <c r="K89" i="7" s="1"/>
  <c r="I88" i="7"/>
  <c r="K88" i="7" s="1"/>
  <c r="I87" i="7"/>
  <c r="K87" i="7" s="1"/>
  <c r="I86" i="7"/>
  <c r="K86" i="7" s="1"/>
  <c r="I85" i="7"/>
  <c r="I84" i="7"/>
  <c r="J83" i="7"/>
  <c r="J71" i="7" s="1"/>
  <c r="J82" i="7"/>
  <c r="J70" i="7" s="1"/>
  <c r="S80" i="7"/>
  <c r="R80" i="7"/>
  <c r="R78" i="7" s="1"/>
  <c r="U78" i="7" s="1"/>
  <c r="Q80" i="7"/>
  <c r="Q78" i="7" s="1"/>
  <c r="T78" i="7" s="1"/>
  <c r="N80" i="7"/>
  <c r="N78" i="7" s="1"/>
  <c r="M80" i="7"/>
  <c r="P80" i="7" s="1"/>
  <c r="L80" i="7"/>
  <c r="U79" i="7"/>
  <c r="T79" i="7"/>
  <c r="P79" i="7"/>
  <c r="O79" i="7"/>
  <c r="S77" i="7"/>
  <c r="S75" i="7" s="1"/>
  <c r="R77" i="7"/>
  <c r="R75" i="7" s="1"/>
  <c r="U75" i="7" s="1"/>
  <c r="Q77" i="7"/>
  <c r="Q75" i="7" s="1"/>
  <c r="T75" i="7" s="1"/>
  <c r="N77" i="7"/>
  <c r="N75" i="7" s="1"/>
  <c r="M77" i="7"/>
  <c r="P77" i="7" s="1"/>
  <c r="L77" i="7"/>
  <c r="O77" i="7" s="1"/>
  <c r="U76" i="7"/>
  <c r="T76" i="7"/>
  <c r="P76" i="7"/>
  <c r="O76" i="7"/>
  <c r="U73" i="7"/>
  <c r="T73" i="7"/>
  <c r="S73" i="7"/>
  <c r="R73" i="7"/>
  <c r="Q73" i="7"/>
  <c r="P73" i="7"/>
  <c r="O73" i="7"/>
  <c r="N73" i="7"/>
  <c r="M73" i="7"/>
  <c r="L73" i="7"/>
  <c r="U67" i="7"/>
  <c r="T67" i="7"/>
  <c r="N67" i="7"/>
  <c r="N65" i="7" s="1"/>
  <c r="M67" i="7"/>
  <c r="M65" i="7" s="1"/>
  <c r="L67" i="7"/>
  <c r="L65" i="7" s="1"/>
  <c r="U66" i="7"/>
  <c r="T66" i="7"/>
  <c r="P66" i="7"/>
  <c r="O66" i="7"/>
  <c r="U65" i="7"/>
  <c r="S65" i="7"/>
  <c r="R65" i="7"/>
  <c r="Q65" i="7"/>
  <c r="T65" i="7" s="1"/>
  <c r="U64" i="7"/>
  <c r="T64" i="7"/>
  <c r="N64" i="7"/>
  <c r="N62" i="7" s="1"/>
  <c r="M64" i="7"/>
  <c r="L64" i="7"/>
  <c r="U63" i="7"/>
  <c r="T63" i="7"/>
  <c r="P63" i="7"/>
  <c r="O63" i="7"/>
  <c r="T62" i="7"/>
  <c r="S62" i="7"/>
  <c r="R62" i="7"/>
  <c r="U62" i="7" s="1"/>
  <c r="Q62" i="7"/>
  <c r="S61" i="7"/>
  <c r="R61" i="7"/>
  <c r="U61" i="7" s="1"/>
  <c r="Q61" i="7"/>
  <c r="Q59" i="7" s="1"/>
  <c r="T59" i="7" s="1"/>
  <c r="T60" i="7"/>
  <c r="S60" i="7"/>
  <c r="R60" i="7"/>
  <c r="U60" i="7" s="1"/>
  <c r="Q60" i="7"/>
  <c r="P60" i="7"/>
  <c r="N60" i="7"/>
  <c r="M60" i="7"/>
  <c r="L60" i="7"/>
  <c r="S59" i="7"/>
  <c r="U52" i="7"/>
  <c r="T52" i="7"/>
  <c r="N52" i="7"/>
  <c r="M52" i="7"/>
  <c r="M50" i="7" s="1"/>
  <c r="P50" i="7" s="1"/>
  <c r="L52" i="7"/>
  <c r="L50" i="7" s="1"/>
  <c r="O50" i="7" s="1"/>
  <c r="U51" i="7"/>
  <c r="T51" i="7"/>
  <c r="P51" i="7"/>
  <c r="O51" i="7"/>
  <c r="U50" i="7"/>
  <c r="S50" i="7"/>
  <c r="R50" i="7"/>
  <c r="Q50" i="7"/>
  <c r="T50" i="7" s="1"/>
  <c r="U49" i="7"/>
  <c r="T49" i="7"/>
  <c r="N49" i="7"/>
  <c r="M49" i="7"/>
  <c r="M47" i="7" s="1"/>
  <c r="L49" i="7"/>
  <c r="L47" i="7" s="1"/>
  <c r="U48" i="7"/>
  <c r="T48" i="7"/>
  <c r="P48" i="7"/>
  <c r="O48" i="7"/>
  <c r="T47" i="7"/>
  <c r="S47" i="7"/>
  <c r="R47" i="7"/>
  <c r="U47" i="7" s="1"/>
  <c r="Q47" i="7"/>
  <c r="S46" i="7"/>
  <c r="R46" i="7"/>
  <c r="U46" i="7" s="1"/>
  <c r="Q46" i="7"/>
  <c r="Q44" i="7" s="1"/>
  <c r="T45" i="7"/>
  <c r="S45" i="7"/>
  <c r="R45" i="7"/>
  <c r="U45" i="7" s="1"/>
  <c r="Q45" i="7"/>
  <c r="P45" i="7"/>
  <c r="N45" i="7"/>
  <c r="M45" i="7"/>
  <c r="L45" i="7"/>
  <c r="O45" i="7" s="1"/>
  <c r="T44" i="7"/>
  <c r="S44" i="7"/>
  <c r="U25" i="7"/>
  <c r="T25" i="7"/>
  <c r="S25" i="7"/>
  <c r="R25" i="7"/>
  <c r="Q25" i="7"/>
  <c r="O25" i="7"/>
  <c r="N25" i="7"/>
  <c r="M25" i="7"/>
  <c r="P25" i="7" s="1"/>
  <c r="L25" i="7"/>
  <c r="T22" i="7"/>
  <c r="S22" i="7"/>
  <c r="R22" i="7"/>
  <c r="R19" i="7" s="1"/>
  <c r="Q22" i="7"/>
  <c r="Q19" i="7" s="1"/>
  <c r="N22" i="7"/>
  <c r="N19" i="7" s="1"/>
  <c r="M22" i="7"/>
  <c r="P22" i="7" s="1"/>
  <c r="L22" i="7"/>
  <c r="S19" i="7"/>
  <c r="L19" i="7"/>
  <c r="A789" i="6"/>
  <c r="A788" i="6"/>
  <c r="J785" i="6"/>
  <c r="I785" i="6"/>
  <c r="J784" i="6"/>
  <c r="I784" i="6"/>
  <c r="J783" i="6"/>
  <c r="I783" i="6"/>
  <c r="J782" i="6"/>
  <c r="I782" i="6"/>
  <c r="J781" i="6"/>
  <c r="I781" i="6"/>
  <c r="J780" i="6"/>
  <c r="I780" i="6"/>
  <c r="J779" i="6"/>
  <c r="I779" i="6"/>
  <c r="J778" i="6"/>
  <c r="I778" i="6"/>
  <c r="H777" i="6"/>
  <c r="I776" i="6"/>
  <c r="I775" i="6"/>
  <c r="I774" i="6"/>
  <c r="I759" i="6" s="1"/>
  <c r="K759" i="6" s="1"/>
  <c r="I772" i="6"/>
  <c r="K772" i="6" s="1"/>
  <c r="I770" i="6"/>
  <c r="K770" i="6" s="1"/>
  <c r="U768" i="6"/>
  <c r="T768" i="6"/>
  <c r="P768" i="6"/>
  <c r="O768" i="6"/>
  <c r="U767" i="6"/>
  <c r="T767" i="6"/>
  <c r="P767" i="6"/>
  <c r="O767" i="6"/>
  <c r="U766" i="6"/>
  <c r="S766" i="6"/>
  <c r="R766" i="6"/>
  <c r="Q766" i="6"/>
  <c r="T766" i="6" s="1"/>
  <c r="O766" i="6"/>
  <c r="N766" i="6"/>
  <c r="M766" i="6"/>
  <c r="P766" i="6" s="1"/>
  <c r="L766" i="6"/>
  <c r="S765" i="6"/>
  <c r="R765" i="6"/>
  <c r="Q765" i="6"/>
  <c r="Q763" i="6" s="1"/>
  <c r="T763" i="6" s="1"/>
  <c r="P765" i="6"/>
  <c r="O765" i="6"/>
  <c r="U764" i="6"/>
  <c r="T764" i="6"/>
  <c r="P764" i="6"/>
  <c r="O764" i="6"/>
  <c r="P763" i="6"/>
  <c r="N763" i="6"/>
  <c r="M763" i="6"/>
  <c r="L763" i="6"/>
  <c r="O763" i="6" s="1"/>
  <c r="R762" i="6"/>
  <c r="P762" i="6"/>
  <c r="O762" i="6"/>
  <c r="N762" i="6"/>
  <c r="M762" i="6"/>
  <c r="L762" i="6"/>
  <c r="T761" i="6"/>
  <c r="S761" i="6"/>
  <c r="R761" i="6"/>
  <c r="U761" i="6" s="1"/>
  <c r="Q761" i="6"/>
  <c r="N761" i="6"/>
  <c r="M761" i="6"/>
  <c r="L761" i="6"/>
  <c r="O761" i="6" s="1"/>
  <c r="N760" i="6"/>
  <c r="L760" i="6"/>
  <c r="O760" i="6" s="1"/>
  <c r="J759" i="6"/>
  <c r="J758" i="6"/>
  <c r="I755" i="6"/>
  <c r="K755" i="6" s="1"/>
  <c r="I752" i="6"/>
  <c r="K752" i="6" s="1"/>
  <c r="I749" i="6"/>
  <c r="K749" i="6" s="1"/>
  <c r="I746" i="6"/>
  <c r="K746" i="6" s="1"/>
  <c r="I744" i="6"/>
  <c r="K744" i="6" s="1"/>
  <c r="I742" i="6"/>
  <c r="K742" i="6" s="1"/>
  <c r="I740" i="6"/>
  <c r="K740" i="6" s="1"/>
  <c r="U736" i="6"/>
  <c r="T736" i="6"/>
  <c r="P736" i="6"/>
  <c r="O736" i="6"/>
  <c r="U735" i="6"/>
  <c r="T735" i="6"/>
  <c r="P735" i="6"/>
  <c r="O735" i="6"/>
  <c r="T734" i="6"/>
  <c r="S734" i="6"/>
  <c r="R734" i="6"/>
  <c r="U734" i="6" s="1"/>
  <c r="Q734" i="6"/>
  <c r="N734" i="6"/>
  <c r="M734" i="6"/>
  <c r="P734" i="6" s="1"/>
  <c r="L734" i="6"/>
  <c r="O734" i="6" s="1"/>
  <c r="S733" i="6"/>
  <c r="S731" i="6" s="1"/>
  <c r="R733" i="6"/>
  <c r="Q733" i="6"/>
  <c r="Q730" i="6" s="1"/>
  <c r="P733" i="6"/>
  <c r="O733" i="6"/>
  <c r="U732" i="6"/>
  <c r="T732" i="6"/>
  <c r="P732" i="6"/>
  <c r="O732" i="6"/>
  <c r="P731" i="6"/>
  <c r="O731" i="6"/>
  <c r="N731" i="6"/>
  <c r="M731" i="6"/>
  <c r="L731" i="6"/>
  <c r="O730" i="6"/>
  <c r="N730" i="6"/>
  <c r="M730" i="6"/>
  <c r="P730" i="6" s="1"/>
  <c r="L730" i="6"/>
  <c r="S729" i="6"/>
  <c r="R729" i="6"/>
  <c r="U729" i="6" s="1"/>
  <c r="Q729" i="6"/>
  <c r="T729" i="6" s="1"/>
  <c r="N729" i="6"/>
  <c r="M729" i="6"/>
  <c r="P729" i="6" s="1"/>
  <c r="L729" i="6"/>
  <c r="M728" i="6"/>
  <c r="P728" i="6" s="1"/>
  <c r="J727" i="6"/>
  <c r="I727" i="6"/>
  <c r="K727" i="6" s="1"/>
  <c r="J726" i="6"/>
  <c r="I726" i="6"/>
  <c r="U722" i="6"/>
  <c r="T722" i="6"/>
  <c r="P722" i="6"/>
  <c r="O722" i="6"/>
  <c r="U721" i="6"/>
  <c r="T721" i="6"/>
  <c r="P721" i="6"/>
  <c r="O721" i="6"/>
  <c r="U720" i="6"/>
  <c r="S720" i="6"/>
  <c r="R720" i="6"/>
  <c r="Q720" i="6"/>
  <c r="T720" i="6" s="1"/>
  <c r="P720" i="6"/>
  <c r="O720" i="6"/>
  <c r="N720" i="6"/>
  <c r="M720" i="6"/>
  <c r="L720" i="6"/>
  <c r="U719" i="6"/>
  <c r="T719" i="6"/>
  <c r="P719" i="6"/>
  <c r="O719" i="6"/>
  <c r="U718" i="6"/>
  <c r="T718" i="6"/>
  <c r="P718" i="6"/>
  <c r="O718" i="6"/>
  <c r="U717" i="6"/>
  <c r="S717" i="6"/>
  <c r="R717" i="6"/>
  <c r="Q717" i="6"/>
  <c r="T717" i="6" s="1"/>
  <c r="O717" i="6"/>
  <c r="N717" i="6"/>
  <c r="M717" i="6"/>
  <c r="P717" i="6" s="1"/>
  <c r="L717" i="6"/>
  <c r="U716" i="6"/>
  <c r="S716" i="6"/>
  <c r="R716" i="6"/>
  <c r="Q716" i="6"/>
  <c r="T716" i="6" s="1"/>
  <c r="O716" i="6"/>
  <c r="N716" i="6"/>
  <c r="M716" i="6"/>
  <c r="P716" i="6" s="1"/>
  <c r="L716" i="6"/>
  <c r="S715" i="6"/>
  <c r="R715" i="6"/>
  <c r="R714" i="6" s="1"/>
  <c r="Q715" i="6"/>
  <c r="T715" i="6" s="1"/>
  <c r="N715" i="6"/>
  <c r="N714" i="6" s="1"/>
  <c r="M715" i="6"/>
  <c r="P715" i="6" s="1"/>
  <c r="L715" i="6"/>
  <c r="L714" i="6" s="1"/>
  <c r="O714" i="6" s="1"/>
  <c r="U714" i="6"/>
  <c r="P714" i="6"/>
  <c r="M714" i="6"/>
  <c r="K712" i="6"/>
  <c r="J712" i="6"/>
  <c r="K710" i="6"/>
  <c r="J710" i="6"/>
  <c r="J709" i="6"/>
  <c r="I709" i="6"/>
  <c r="K708" i="6"/>
  <c r="J708" i="6"/>
  <c r="J707" i="6"/>
  <c r="I707" i="6"/>
  <c r="K707" i="6" s="1"/>
  <c r="K706" i="6"/>
  <c r="J706" i="6"/>
  <c r="J705" i="6"/>
  <c r="I705" i="6"/>
  <c r="K704" i="6"/>
  <c r="J704" i="6"/>
  <c r="J703" i="6"/>
  <c r="I703" i="6"/>
  <c r="K703" i="6" s="1"/>
  <c r="K702" i="6"/>
  <c r="I700" i="6"/>
  <c r="K700" i="6" s="1"/>
  <c r="U698" i="6"/>
  <c r="T698" i="6"/>
  <c r="P698" i="6"/>
  <c r="O698" i="6"/>
  <c r="U697" i="6"/>
  <c r="T697" i="6"/>
  <c r="P697" i="6"/>
  <c r="O697" i="6"/>
  <c r="T696" i="6"/>
  <c r="S696" i="6"/>
  <c r="R696" i="6"/>
  <c r="U696" i="6" s="1"/>
  <c r="Q696" i="6"/>
  <c r="P696" i="6"/>
  <c r="N696" i="6"/>
  <c r="M696" i="6"/>
  <c r="L696" i="6"/>
  <c r="O696" i="6" s="1"/>
  <c r="S695" i="6"/>
  <c r="S693" i="6" s="1"/>
  <c r="R695" i="6"/>
  <c r="R693" i="6" s="1"/>
  <c r="U693" i="6" s="1"/>
  <c r="Q695" i="6"/>
  <c r="P695" i="6"/>
  <c r="O695" i="6"/>
  <c r="U694" i="6"/>
  <c r="T694" i="6"/>
  <c r="P694" i="6"/>
  <c r="O694" i="6"/>
  <c r="N693" i="6"/>
  <c r="M693" i="6"/>
  <c r="P693" i="6" s="1"/>
  <c r="L693" i="6"/>
  <c r="O693" i="6" s="1"/>
  <c r="P692" i="6"/>
  <c r="O692" i="6"/>
  <c r="N692" i="6"/>
  <c r="M692" i="6"/>
  <c r="L692" i="6"/>
  <c r="U691" i="6"/>
  <c r="T691" i="6"/>
  <c r="S691" i="6"/>
  <c r="R691" i="6"/>
  <c r="Q691" i="6"/>
  <c r="O691" i="6"/>
  <c r="N691" i="6"/>
  <c r="N690" i="6" s="1"/>
  <c r="M691" i="6"/>
  <c r="P691" i="6" s="1"/>
  <c r="L691" i="6"/>
  <c r="O690" i="6"/>
  <c r="M690" i="6"/>
  <c r="P690" i="6" s="1"/>
  <c r="L690" i="6"/>
  <c r="J682" i="6"/>
  <c r="I682" i="6"/>
  <c r="K682" i="6" s="1"/>
  <c r="J681" i="6"/>
  <c r="I681" i="6"/>
  <c r="K681" i="6" s="1"/>
  <c r="J680" i="6"/>
  <c r="J679" i="6"/>
  <c r="I679" i="6"/>
  <c r="K679" i="6" s="1"/>
  <c r="J678" i="6"/>
  <c r="I678" i="6"/>
  <c r="K678" i="6" s="1"/>
  <c r="J677" i="6"/>
  <c r="J676" i="6"/>
  <c r="I676" i="6"/>
  <c r="K676" i="6" s="1"/>
  <c r="I675" i="6"/>
  <c r="K675" i="6" s="1"/>
  <c r="I674" i="6"/>
  <c r="K674" i="6" s="1"/>
  <c r="J673" i="6"/>
  <c r="I673" i="6"/>
  <c r="K673" i="6" s="1"/>
  <c r="J672" i="6"/>
  <c r="J671" i="6"/>
  <c r="J661" i="6"/>
  <c r="I661" i="6"/>
  <c r="K661" i="6" s="1"/>
  <c r="I660" i="6"/>
  <c r="I657" i="6"/>
  <c r="J654" i="6"/>
  <c r="I654" i="6"/>
  <c r="K654" i="6" s="1"/>
  <c r="J653" i="6"/>
  <c r="I653" i="6"/>
  <c r="K653" i="6" s="1"/>
  <c r="J652" i="6"/>
  <c r="I652" i="6"/>
  <c r="K652" i="6" s="1"/>
  <c r="U650" i="6"/>
  <c r="T650" i="6"/>
  <c r="P650" i="6"/>
  <c r="O650" i="6"/>
  <c r="U649" i="6"/>
  <c r="T649" i="6"/>
  <c r="P649" i="6"/>
  <c r="O649" i="6"/>
  <c r="U648" i="6"/>
  <c r="T648" i="6"/>
  <c r="S648" i="6"/>
  <c r="R648" i="6"/>
  <c r="Q648" i="6"/>
  <c r="P648" i="6"/>
  <c r="O648" i="6"/>
  <c r="N648" i="6"/>
  <c r="M648" i="6"/>
  <c r="L648" i="6"/>
  <c r="S647" i="6"/>
  <c r="S645" i="6" s="1"/>
  <c r="R647" i="6"/>
  <c r="R645" i="6" s="1"/>
  <c r="U645" i="6" s="1"/>
  <c r="Q647" i="6"/>
  <c r="P647" i="6"/>
  <c r="O647" i="6"/>
  <c r="U646" i="6"/>
  <c r="T646" i="6"/>
  <c r="P646" i="6"/>
  <c r="O646" i="6"/>
  <c r="O645" i="6"/>
  <c r="N645" i="6"/>
  <c r="M645" i="6"/>
  <c r="P645" i="6" s="1"/>
  <c r="L645" i="6"/>
  <c r="O644" i="6"/>
  <c r="N644" i="6"/>
  <c r="M644" i="6"/>
  <c r="P644" i="6" s="1"/>
  <c r="L644" i="6"/>
  <c r="U643" i="6"/>
  <c r="S643" i="6"/>
  <c r="R643" i="6"/>
  <c r="Q643" i="6"/>
  <c r="O643" i="6"/>
  <c r="N643" i="6"/>
  <c r="N642" i="6" s="1"/>
  <c r="M643" i="6"/>
  <c r="P643" i="6" s="1"/>
  <c r="L643" i="6"/>
  <c r="M642" i="6"/>
  <c r="P642" i="6" s="1"/>
  <c r="L642" i="6"/>
  <c r="O642" i="6" s="1"/>
  <c r="J636" i="6"/>
  <c r="J635" i="6"/>
  <c r="I635" i="6"/>
  <c r="K635" i="6" s="1"/>
  <c r="J632" i="6"/>
  <c r="I628" i="6"/>
  <c r="K628" i="6" s="1"/>
  <c r="I627" i="6"/>
  <c r="K627" i="6" s="1"/>
  <c r="J626" i="6"/>
  <c r="J615" i="6" s="1"/>
  <c r="I626" i="6"/>
  <c r="K630" i="6" s="1"/>
  <c r="U624" i="6"/>
  <c r="T624" i="6"/>
  <c r="P624" i="6"/>
  <c r="O624" i="6"/>
  <c r="U623" i="6"/>
  <c r="T623" i="6"/>
  <c r="P623" i="6"/>
  <c r="O623" i="6"/>
  <c r="U622" i="6"/>
  <c r="S622" i="6"/>
  <c r="R622" i="6"/>
  <c r="Q622" i="6"/>
  <c r="T622" i="6" s="1"/>
  <c r="P622" i="6"/>
  <c r="O622" i="6"/>
  <c r="N622" i="6"/>
  <c r="M622" i="6"/>
  <c r="L622" i="6"/>
  <c r="S621" i="6"/>
  <c r="S618" i="6" s="1"/>
  <c r="S616" i="6" s="1"/>
  <c r="R621" i="6"/>
  <c r="Q621" i="6"/>
  <c r="P621" i="6"/>
  <c r="O621" i="6"/>
  <c r="U620" i="6"/>
  <c r="T620" i="6"/>
  <c r="P620" i="6"/>
  <c r="O620" i="6"/>
  <c r="P619" i="6"/>
  <c r="N619" i="6"/>
  <c r="M619" i="6"/>
  <c r="L619" i="6"/>
  <c r="O619" i="6" s="1"/>
  <c r="P618" i="6"/>
  <c r="N618" i="6"/>
  <c r="M618" i="6"/>
  <c r="L618" i="6"/>
  <c r="O618" i="6" s="1"/>
  <c r="U617" i="6"/>
  <c r="T617" i="6"/>
  <c r="S617" i="6"/>
  <c r="R617" i="6"/>
  <c r="Q617" i="6"/>
  <c r="P617" i="6"/>
  <c r="O617" i="6"/>
  <c r="N617" i="6"/>
  <c r="N616" i="6" s="1"/>
  <c r="M617" i="6"/>
  <c r="L617" i="6"/>
  <c r="P616" i="6"/>
  <c r="M616" i="6"/>
  <c r="L616" i="6"/>
  <c r="O616" i="6" s="1"/>
  <c r="S607" i="6"/>
  <c r="S605" i="6" s="1"/>
  <c r="R607" i="6"/>
  <c r="Q607" i="6"/>
  <c r="T607" i="6" s="1"/>
  <c r="N607" i="6"/>
  <c r="N605" i="6" s="1"/>
  <c r="M607" i="6"/>
  <c r="P607" i="6" s="1"/>
  <c r="L607" i="6"/>
  <c r="L605" i="6" s="1"/>
  <c r="O605" i="6" s="1"/>
  <c r="U606" i="6"/>
  <c r="T606" i="6"/>
  <c r="P606" i="6"/>
  <c r="O606" i="6"/>
  <c r="S604" i="6"/>
  <c r="R604" i="6"/>
  <c r="U604" i="6" s="1"/>
  <c r="Q604" i="6"/>
  <c r="T604" i="6" s="1"/>
  <c r="N604" i="6"/>
  <c r="M604" i="6"/>
  <c r="M602" i="6" s="1"/>
  <c r="L604" i="6"/>
  <c r="L602" i="6" s="1"/>
  <c r="U603" i="6"/>
  <c r="T603" i="6"/>
  <c r="P603" i="6"/>
  <c r="O603" i="6"/>
  <c r="U600" i="6"/>
  <c r="S600" i="6"/>
  <c r="R600" i="6"/>
  <c r="Q600" i="6"/>
  <c r="T600" i="6" s="1"/>
  <c r="O600" i="6"/>
  <c r="N600" i="6"/>
  <c r="M600" i="6"/>
  <c r="L600" i="6"/>
  <c r="U584" i="6"/>
  <c r="T584" i="6"/>
  <c r="N584" i="6"/>
  <c r="N582" i="6" s="1"/>
  <c r="M584" i="6"/>
  <c r="L584" i="6"/>
  <c r="L582" i="6" s="1"/>
  <c r="O582" i="6" s="1"/>
  <c r="U583" i="6"/>
  <c r="T583" i="6"/>
  <c r="P583" i="6"/>
  <c r="O583" i="6"/>
  <c r="T582" i="6"/>
  <c r="S582" i="6"/>
  <c r="R582" i="6"/>
  <c r="U582" i="6" s="1"/>
  <c r="Q582" i="6"/>
  <c r="U581" i="6"/>
  <c r="T581" i="6"/>
  <c r="N581" i="6"/>
  <c r="N579" i="6" s="1"/>
  <c r="M581" i="6"/>
  <c r="L581" i="6"/>
  <c r="U580" i="6"/>
  <c r="T580" i="6"/>
  <c r="P580" i="6"/>
  <c r="O580" i="6"/>
  <c r="U579" i="6"/>
  <c r="S579" i="6"/>
  <c r="R579" i="6"/>
  <c r="Q579" i="6"/>
  <c r="T579" i="6" s="1"/>
  <c r="U578" i="6"/>
  <c r="S578" i="6"/>
  <c r="S576" i="6" s="1"/>
  <c r="R578" i="6"/>
  <c r="Q578" i="6"/>
  <c r="S577" i="6"/>
  <c r="R577" i="6"/>
  <c r="Q577" i="6"/>
  <c r="T577" i="6" s="1"/>
  <c r="O577" i="6"/>
  <c r="N577" i="6"/>
  <c r="M577" i="6"/>
  <c r="P577" i="6" s="1"/>
  <c r="L577" i="6"/>
  <c r="K575" i="6"/>
  <c r="J575" i="6"/>
  <c r="I575" i="6"/>
  <c r="U563" i="6"/>
  <c r="T563" i="6"/>
  <c r="N563" i="6"/>
  <c r="N561" i="6" s="1"/>
  <c r="M563" i="6"/>
  <c r="P563" i="6" s="1"/>
  <c r="L563" i="6"/>
  <c r="O563" i="6" s="1"/>
  <c r="U562" i="6"/>
  <c r="T562" i="6"/>
  <c r="P562" i="6"/>
  <c r="O562" i="6"/>
  <c r="U561" i="6"/>
  <c r="S561" i="6"/>
  <c r="R561" i="6"/>
  <c r="Q561" i="6"/>
  <c r="T561" i="6" s="1"/>
  <c r="U560" i="6"/>
  <c r="T560" i="6"/>
  <c r="N560" i="6"/>
  <c r="N558" i="6" s="1"/>
  <c r="M560" i="6"/>
  <c r="P560" i="6" s="1"/>
  <c r="L560" i="6"/>
  <c r="L558" i="6" s="1"/>
  <c r="O558" i="6" s="1"/>
  <c r="U559" i="6"/>
  <c r="T559" i="6"/>
  <c r="P559" i="6"/>
  <c r="O559" i="6"/>
  <c r="T558" i="6"/>
  <c r="S558" i="6"/>
  <c r="R558" i="6"/>
  <c r="U558" i="6" s="1"/>
  <c r="Q558" i="6"/>
  <c r="S557" i="6"/>
  <c r="R557" i="6"/>
  <c r="U557" i="6" s="1"/>
  <c r="Q557" i="6"/>
  <c r="T557" i="6" s="1"/>
  <c r="S556" i="6"/>
  <c r="R556" i="6"/>
  <c r="U556" i="6" s="1"/>
  <c r="Q556" i="6"/>
  <c r="Q555" i="6" s="1"/>
  <c r="T555" i="6" s="1"/>
  <c r="P556" i="6"/>
  <c r="N556" i="6"/>
  <c r="M556" i="6"/>
  <c r="L556" i="6"/>
  <c r="S555" i="6"/>
  <c r="R555" i="6"/>
  <c r="U555" i="6" s="1"/>
  <c r="J554" i="6"/>
  <c r="I554" i="6"/>
  <c r="K554" i="6" s="1"/>
  <c r="U542" i="6"/>
  <c r="T542" i="6"/>
  <c r="N542" i="6"/>
  <c r="N540" i="6" s="1"/>
  <c r="M542" i="6"/>
  <c r="L542" i="6"/>
  <c r="L540" i="6" s="1"/>
  <c r="O540" i="6" s="1"/>
  <c r="U541" i="6"/>
  <c r="T541" i="6"/>
  <c r="P541" i="6"/>
  <c r="O541" i="6"/>
  <c r="T540" i="6"/>
  <c r="S540" i="6"/>
  <c r="R540" i="6"/>
  <c r="U540" i="6" s="1"/>
  <c r="Q540" i="6"/>
  <c r="U539" i="6"/>
  <c r="T539" i="6"/>
  <c r="N539" i="6"/>
  <c r="N537" i="6" s="1"/>
  <c r="M539" i="6"/>
  <c r="M537" i="6" s="1"/>
  <c r="P537" i="6" s="1"/>
  <c r="L539" i="6"/>
  <c r="O539" i="6" s="1"/>
  <c r="U538" i="6"/>
  <c r="T538" i="6"/>
  <c r="P538" i="6"/>
  <c r="O538" i="6"/>
  <c r="U537" i="6"/>
  <c r="S537" i="6"/>
  <c r="R537" i="6"/>
  <c r="Q537" i="6"/>
  <c r="T537" i="6" s="1"/>
  <c r="U536" i="6"/>
  <c r="S536" i="6"/>
  <c r="R536" i="6"/>
  <c r="Q536" i="6"/>
  <c r="U535" i="6"/>
  <c r="S535" i="6"/>
  <c r="R535" i="6"/>
  <c r="Q535" i="6"/>
  <c r="T535" i="6" s="1"/>
  <c r="N535" i="6"/>
  <c r="M535" i="6"/>
  <c r="L535" i="6"/>
  <c r="O535" i="6" s="1"/>
  <c r="S534" i="6"/>
  <c r="R534" i="6"/>
  <c r="U534" i="6" s="1"/>
  <c r="J533" i="6"/>
  <c r="I533" i="6"/>
  <c r="K533" i="6" s="1"/>
  <c r="K524" i="6"/>
  <c r="K523" i="6"/>
  <c r="U521" i="6"/>
  <c r="T521" i="6"/>
  <c r="N521" i="6"/>
  <c r="N519" i="6" s="1"/>
  <c r="M521" i="6"/>
  <c r="P521" i="6" s="1"/>
  <c r="L521" i="6"/>
  <c r="U520" i="6"/>
  <c r="T520" i="6"/>
  <c r="P520" i="6"/>
  <c r="O520" i="6"/>
  <c r="T519" i="6"/>
  <c r="S519" i="6"/>
  <c r="R519" i="6"/>
  <c r="U519" i="6" s="1"/>
  <c r="Q519" i="6"/>
  <c r="U518" i="6"/>
  <c r="T518" i="6"/>
  <c r="N518" i="6"/>
  <c r="N516" i="6" s="1"/>
  <c r="M518" i="6"/>
  <c r="M516" i="6" s="1"/>
  <c r="P516" i="6" s="1"/>
  <c r="L518" i="6"/>
  <c r="L516" i="6" s="1"/>
  <c r="O516" i="6" s="1"/>
  <c r="U517" i="6"/>
  <c r="T517" i="6"/>
  <c r="P517" i="6"/>
  <c r="O517" i="6"/>
  <c r="T516" i="6"/>
  <c r="S516" i="6"/>
  <c r="R516" i="6"/>
  <c r="U516" i="6" s="1"/>
  <c r="Q516" i="6"/>
  <c r="U515" i="6"/>
  <c r="T515" i="6"/>
  <c r="S515" i="6"/>
  <c r="R515" i="6"/>
  <c r="Q515" i="6"/>
  <c r="T514" i="6"/>
  <c r="S514" i="6"/>
  <c r="R514" i="6"/>
  <c r="U514" i="6" s="1"/>
  <c r="Q514" i="6"/>
  <c r="N514" i="6"/>
  <c r="M514" i="6"/>
  <c r="L514" i="6"/>
  <c r="R513" i="6"/>
  <c r="U513" i="6" s="1"/>
  <c r="Q513" i="6"/>
  <c r="T513" i="6" s="1"/>
  <c r="K512" i="6"/>
  <c r="J512" i="6"/>
  <c r="I512" i="6"/>
  <c r="I509" i="6"/>
  <c r="K509" i="6" s="1"/>
  <c r="K508" i="6"/>
  <c r="I507" i="6"/>
  <c r="K507" i="6" s="1"/>
  <c r="I506" i="6"/>
  <c r="K506" i="6" s="1"/>
  <c r="I505" i="6"/>
  <c r="K505" i="6" s="1"/>
  <c r="I504" i="6"/>
  <c r="K504" i="6" s="1"/>
  <c r="I503" i="6"/>
  <c r="K503" i="6" s="1"/>
  <c r="U501" i="6"/>
  <c r="T501" i="6"/>
  <c r="N501" i="6"/>
  <c r="N499" i="6" s="1"/>
  <c r="M501" i="6"/>
  <c r="P501" i="6" s="1"/>
  <c r="L501" i="6"/>
  <c r="O501" i="6" s="1"/>
  <c r="U500" i="6"/>
  <c r="T500" i="6"/>
  <c r="P500" i="6"/>
  <c r="O500" i="6"/>
  <c r="T499" i="6"/>
  <c r="S499" i="6"/>
  <c r="R499" i="6"/>
  <c r="U499" i="6" s="1"/>
  <c r="Q499" i="6"/>
  <c r="S498" i="6"/>
  <c r="S496" i="6" s="1"/>
  <c r="R498" i="6"/>
  <c r="R496" i="6" s="1"/>
  <c r="U496" i="6" s="1"/>
  <c r="Q498" i="6"/>
  <c r="Q495" i="6" s="1"/>
  <c r="Q493" i="6" s="1"/>
  <c r="T493" i="6" s="1"/>
  <c r="N498" i="6"/>
  <c r="M498" i="6"/>
  <c r="L498" i="6"/>
  <c r="O498" i="6" s="1"/>
  <c r="U497" i="6"/>
  <c r="T497" i="6"/>
  <c r="P497" i="6"/>
  <c r="O497" i="6"/>
  <c r="T494" i="6"/>
  <c r="S494" i="6"/>
  <c r="R494" i="6"/>
  <c r="Q494" i="6"/>
  <c r="P494" i="6"/>
  <c r="N494" i="6"/>
  <c r="M494" i="6"/>
  <c r="L494" i="6"/>
  <c r="K485" i="6"/>
  <c r="J485" i="6"/>
  <c r="I485" i="6"/>
  <c r="K484" i="6"/>
  <c r="J484" i="6"/>
  <c r="I484" i="6"/>
  <c r="J483" i="6"/>
  <c r="J482" i="6"/>
  <c r="K477" i="6"/>
  <c r="J477" i="6"/>
  <c r="K476" i="6"/>
  <c r="J476" i="6"/>
  <c r="K475" i="6"/>
  <c r="J475" i="6"/>
  <c r="J468" i="6"/>
  <c r="J467" i="6"/>
  <c r="J460" i="6"/>
  <c r="J458" i="6" s="1"/>
  <c r="J459" i="6"/>
  <c r="I458" i="6"/>
  <c r="K458" i="6" s="1"/>
  <c r="J457" i="6"/>
  <c r="J456" i="6" s="1"/>
  <c r="I457" i="6"/>
  <c r="I456" i="6" s="1"/>
  <c r="K456" i="6" s="1"/>
  <c r="J447" i="6"/>
  <c r="J446" i="6"/>
  <c r="J440" i="6" s="1"/>
  <c r="J441" i="6"/>
  <c r="I441" i="6"/>
  <c r="K441" i="6" s="1"/>
  <c r="I440" i="6"/>
  <c r="K440" i="6" s="1"/>
  <c r="J433" i="6"/>
  <c r="I433" i="6"/>
  <c r="J432" i="6"/>
  <c r="I432" i="6"/>
  <c r="K432" i="6" s="1"/>
  <c r="J425" i="6"/>
  <c r="I425" i="6"/>
  <c r="K425" i="6" s="1"/>
  <c r="J424" i="6"/>
  <c r="I424" i="6"/>
  <c r="J423" i="6"/>
  <c r="U421" i="6"/>
  <c r="T421" i="6"/>
  <c r="N421" i="6"/>
  <c r="N419" i="6" s="1"/>
  <c r="M421" i="6"/>
  <c r="P421" i="6" s="1"/>
  <c r="L421" i="6"/>
  <c r="U420" i="6"/>
  <c r="T420" i="6"/>
  <c r="P420" i="6"/>
  <c r="O420" i="6"/>
  <c r="T419" i="6"/>
  <c r="S419" i="6"/>
  <c r="R419" i="6"/>
  <c r="U419" i="6" s="1"/>
  <c r="Q419" i="6"/>
  <c r="S418" i="6"/>
  <c r="R418" i="6"/>
  <c r="Q418" i="6"/>
  <c r="N418" i="6"/>
  <c r="M418" i="6"/>
  <c r="M416" i="6" s="1"/>
  <c r="L418" i="6"/>
  <c r="L416" i="6" s="1"/>
  <c r="U417" i="6"/>
  <c r="T417" i="6"/>
  <c r="P417" i="6"/>
  <c r="O417" i="6"/>
  <c r="T414" i="6"/>
  <c r="S414" i="6"/>
  <c r="R414" i="6"/>
  <c r="U414" i="6" s="1"/>
  <c r="Q414" i="6"/>
  <c r="P414" i="6"/>
  <c r="N414" i="6"/>
  <c r="M414" i="6"/>
  <c r="L414" i="6"/>
  <c r="J412" i="6"/>
  <c r="U400" i="6"/>
  <c r="T400" i="6"/>
  <c r="P400" i="6"/>
  <c r="O400" i="6"/>
  <c r="U399" i="6"/>
  <c r="T399" i="6"/>
  <c r="P399" i="6"/>
  <c r="O399" i="6"/>
  <c r="U398" i="6"/>
  <c r="S398" i="6"/>
  <c r="R398" i="6"/>
  <c r="Q398" i="6"/>
  <c r="T398" i="6" s="1"/>
  <c r="O398" i="6"/>
  <c r="N398" i="6"/>
  <c r="M398" i="6"/>
  <c r="P398" i="6" s="1"/>
  <c r="L398" i="6"/>
  <c r="S397" i="6"/>
  <c r="R397" i="6"/>
  <c r="Q397" i="6"/>
  <c r="Q395" i="6" s="1"/>
  <c r="T395" i="6" s="1"/>
  <c r="P397" i="6"/>
  <c r="O397" i="6"/>
  <c r="U396" i="6"/>
  <c r="T396" i="6"/>
  <c r="P396" i="6"/>
  <c r="O396" i="6"/>
  <c r="P395" i="6"/>
  <c r="N395" i="6"/>
  <c r="M395" i="6"/>
  <c r="L395" i="6"/>
  <c r="O395" i="6" s="1"/>
  <c r="P394" i="6"/>
  <c r="N394" i="6"/>
  <c r="M394" i="6"/>
  <c r="L394" i="6"/>
  <c r="O394" i="6" s="1"/>
  <c r="T393" i="6"/>
  <c r="S393" i="6"/>
  <c r="R393" i="6"/>
  <c r="U393" i="6" s="1"/>
  <c r="Q393" i="6"/>
  <c r="P393" i="6"/>
  <c r="N393" i="6"/>
  <c r="M393" i="6"/>
  <c r="L393" i="6"/>
  <c r="O393" i="6" s="1"/>
  <c r="P392" i="6"/>
  <c r="N392" i="6"/>
  <c r="M392" i="6"/>
  <c r="L392" i="6"/>
  <c r="O392" i="6" s="1"/>
  <c r="J391" i="6"/>
  <c r="I391" i="6"/>
  <c r="K391" i="6" s="1"/>
  <c r="J388" i="6"/>
  <c r="I388" i="6"/>
  <c r="K388" i="6" s="1"/>
  <c r="K387" i="6"/>
  <c r="J387" i="6"/>
  <c r="J386" i="6"/>
  <c r="I386" i="6"/>
  <c r="K385" i="6"/>
  <c r="J385" i="6"/>
  <c r="U383" i="6"/>
  <c r="T383" i="6"/>
  <c r="N383" i="6"/>
  <c r="N381" i="6" s="1"/>
  <c r="M383" i="6"/>
  <c r="P383" i="6" s="1"/>
  <c r="L383" i="6"/>
  <c r="O383" i="6" s="1"/>
  <c r="U382" i="6"/>
  <c r="T382" i="6"/>
  <c r="P382" i="6"/>
  <c r="O382" i="6"/>
  <c r="T381" i="6"/>
  <c r="S381" i="6"/>
  <c r="R381" i="6"/>
  <c r="U381" i="6" s="1"/>
  <c r="Q381" i="6"/>
  <c r="S380" i="6"/>
  <c r="S378" i="6" s="1"/>
  <c r="R380" i="6"/>
  <c r="Q380" i="6"/>
  <c r="Q377" i="6" s="1"/>
  <c r="Q375" i="6" s="1"/>
  <c r="N380" i="6"/>
  <c r="N378" i="6" s="1"/>
  <c r="M380" i="6"/>
  <c r="P380" i="6" s="1"/>
  <c r="L380" i="6"/>
  <c r="O380" i="6" s="1"/>
  <c r="U379" i="6"/>
  <c r="T379" i="6"/>
  <c r="P379" i="6"/>
  <c r="O379" i="6"/>
  <c r="T376" i="6"/>
  <c r="S376" i="6"/>
  <c r="R376" i="6"/>
  <c r="U376" i="6" s="1"/>
  <c r="Q376" i="6"/>
  <c r="P376" i="6"/>
  <c r="N376" i="6"/>
  <c r="M376" i="6"/>
  <c r="L376" i="6"/>
  <c r="O376" i="6" s="1"/>
  <c r="D373" i="6"/>
  <c r="K372" i="6"/>
  <c r="J372" i="6"/>
  <c r="J371" i="6"/>
  <c r="J365" i="6" s="1"/>
  <c r="I371" i="6"/>
  <c r="K370" i="6"/>
  <c r="J370" i="6"/>
  <c r="J369" i="6"/>
  <c r="I369" i="6"/>
  <c r="J368" i="6"/>
  <c r="I368" i="6"/>
  <c r="K367" i="6"/>
  <c r="J367" i="6"/>
  <c r="U364" i="6"/>
  <c r="T364" i="6"/>
  <c r="N364" i="6"/>
  <c r="M364" i="6"/>
  <c r="P364" i="6" s="1"/>
  <c r="L364" i="6"/>
  <c r="O364" i="6" s="1"/>
  <c r="U363" i="6"/>
  <c r="T363" i="6"/>
  <c r="P363" i="6"/>
  <c r="O363" i="6"/>
  <c r="S362" i="6"/>
  <c r="R362" i="6"/>
  <c r="U362" i="6" s="1"/>
  <c r="Q362" i="6"/>
  <c r="T362" i="6" s="1"/>
  <c r="U361" i="6"/>
  <c r="T361" i="6"/>
  <c r="N361" i="6"/>
  <c r="N359" i="6" s="1"/>
  <c r="M361" i="6"/>
  <c r="M359" i="6" s="1"/>
  <c r="L361" i="6"/>
  <c r="U360" i="6"/>
  <c r="T360" i="6"/>
  <c r="P360" i="6"/>
  <c r="O360" i="6"/>
  <c r="U359" i="6"/>
  <c r="T359" i="6"/>
  <c r="S359" i="6"/>
  <c r="R359" i="6"/>
  <c r="Q359" i="6"/>
  <c r="T358" i="6"/>
  <c r="S358" i="6"/>
  <c r="R358" i="6"/>
  <c r="U358" i="6" s="1"/>
  <c r="Q358" i="6"/>
  <c r="T357" i="6"/>
  <c r="S357" i="6"/>
  <c r="R357" i="6"/>
  <c r="Q357" i="6"/>
  <c r="Q356" i="6" s="1"/>
  <c r="P357" i="6"/>
  <c r="N357" i="6"/>
  <c r="M357" i="6"/>
  <c r="L357" i="6"/>
  <c r="O357" i="6" s="1"/>
  <c r="T356" i="6"/>
  <c r="J354" i="6"/>
  <c r="J353" i="6"/>
  <c r="J352" i="6"/>
  <c r="D350" i="6"/>
  <c r="J349" i="6"/>
  <c r="J348" i="6"/>
  <c r="J347" i="6"/>
  <c r="J346" i="6"/>
  <c r="I346" i="6"/>
  <c r="K344" i="6"/>
  <c r="J344" i="6"/>
  <c r="U341" i="6"/>
  <c r="T341" i="6"/>
  <c r="N341" i="6"/>
  <c r="N339" i="6" s="1"/>
  <c r="M341" i="6"/>
  <c r="L341" i="6"/>
  <c r="L339" i="6" s="1"/>
  <c r="O339" i="6" s="1"/>
  <c r="U340" i="6"/>
  <c r="T340" i="6"/>
  <c r="P340" i="6"/>
  <c r="O340" i="6"/>
  <c r="U339" i="6"/>
  <c r="S339" i="6"/>
  <c r="R339" i="6"/>
  <c r="Q339" i="6"/>
  <c r="T339" i="6" s="1"/>
  <c r="U338" i="6"/>
  <c r="T338" i="6"/>
  <c r="N338" i="6"/>
  <c r="M338" i="6"/>
  <c r="M336" i="6" s="1"/>
  <c r="L338" i="6"/>
  <c r="U337" i="6"/>
  <c r="T337" i="6"/>
  <c r="P337" i="6"/>
  <c r="O337" i="6"/>
  <c r="S336" i="6"/>
  <c r="R336" i="6"/>
  <c r="U336" i="6" s="1"/>
  <c r="Q336" i="6"/>
  <c r="T336" i="6" s="1"/>
  <c r="U335" i="6"/>
  <c r="T335" i="6"/>
  <c r="S335" i="6"/>
  <c r="R335" i="6"/>
  <c r="Q335" i="6"/>
  <c r="T334" i="6"/>
  <c r="S334" i="6"/>
  <c r="S333" i="6" s="1"/>
  <c r="R334" i="6"/>
  <c r="U334" i="6" s="1"/>
  <c r="Q334" i="6"/>
  <c r="N334" i="6"/>
  <c r="M334" i="6"/>
  <c r="L334" i="6"/>
  <c r="O334" i="6" s="1"/>
  <c r="T333" i="6"/>
  <c r="R333" i="6"/>
  <c r="U333" i="6" s="1"/>
  <c r="Q333" i="6"/>
  <c r="I332" i="6"/>
  <c r="I330" i="6"/>
  <c r="I319" i="6" s="1"/>
  <c r="K319" i="6" s="1"/>
  <c r="U328" i="6"/>
  <c r="T328" i="6"/>
  <c r="N328" i="6"/>
  <c r="N326" i="6" s="1"/>
  <c r="M328" i="6"/>
  <c r="P328" i="6" s="1"/>
  <c r="L328" i="6"/>
  <c r="L326" i="6" s="1"/>
  <c r="O326" i="6" s="1"/>
  <c r="U327" i="6"/>
  <c r="T327" i="6"/>
  <c r="P327" i="6"/>
  <c r="O327" i="6"/>
  <c r="T326" i="6"/>
  <c r="S326" i="6"/>
  <c r="R326" i="6"/>
  <c r="U326" i="6" s="1"/>
  <c r="Q326" i="6"/>
  <c r="U325" i="6"/>
  <c r="T325" i="6"/>
  <c r="N325" i="6"/>
  <c r="N323" i="6" s="1"/>
  <c r="M325" i="6"/>
  <c r="P325" i="6" s="1"/>
  <c r="L325" i="6"/>
  <c r="O325" i="6" s="1"/>
  <c r="U324" i="6"/>
  <c r="T324" i="6"/>
  <c r="P324" i="6"/>
  <c r="O324" i="6"/>
  <c r="U323" i="6"/>
  <c r="S323" i="6"/>
  <c r="R323" i="6"/>
  <c r="Q323" i="6"/>
  <c r="T323" i="6" s="1"/>
  <c r="U322" i="6"/>
  <c r="S322" i="6"/>
  <c r="R322" i="6"/>
  <c r="Q322" i="6"/>
  <c r="T322" i="6" s="1"/>
  <c r="S321" i="6"/>
  <c r="R321" i="6"/>
  <c r="Q321" i="6"/>
  <c r="N321" i="6"/>
  <c r="M321" i="6"/>
  <c r="L321" i="6"/>
  <c r="S320" i="6"/>
  <c r="J319" i="6"/>
  <c r="I314" i="6"/>
  <c r="U311" i="6"/>
  <c r="T311" i="6"/>
  <c r="N311" i="6"/>
  <c r="N309" i="6" s="1"/>
  <c r="M311" i="6"/>
  <c r="M309" i="6" s="1"/>
  <c r="P309" i="6" s="1"/>
  <c r="L311" i="6"/>
  <c r="L309" i="6" s="1"/>
  <c r="O309" i="6" s="1"/>
  <c r="U310" i="6"/>
  <c r="T310" i="6"/>
  <c r="P310" i="6"/>
  <c r="O310" i="6"/>
  <c r="U309" i="6"/>
  <c r="S309" i="6"/>
  <c r="R309" i="6"/>
  <c r="Q309" i="6"/>
  <c r="T309" i="6" s="1"/>
  <c r="S308" i="6"/>
  <c r="S306" i="6" s="1"/>
  <c r="R308" i="6"/>
  <c r="R305" i="6" s="1"/>
  <c r="Q308" i="6"/>
  <c r="T308" i="6" s="1"/>
  <c r="N308" i="6"/>
  <c r="N306" i="6" s="1"/>
  <c r="M308" i="6"/>
  <c r="P308" i="6" s="1"/>
  <c r="L308" i="6"/>
  <c r="U307" i="6"/>
  <c r="T307" i="6"/>
  <c r="P307" i="6"/>
  <c r="O307" i="6"/>
  <c r="U304" i="6"/>
  <c r="T304" i="6"/>
  <c r="S304" i="6"/>
  <c r="R304" i="6"/>
  <c r="Q304" i="6"/>
  <c r="O304" i="6"/>
  <c r="N304" i="6"/>
  <c r="M304" i="6"/>
  <c r="P304" i="6" s="1"/>
  <c r="L304" i="6"/>
  <c r="J302" i="6"/>
  <c r="I296" i="6"/>
  <c r="K296" i="6" s="1"/>
  <c r="I295" i="6"/>
  <c r="K295" i="6" s="1"/>
  <c r="J293" i="6"/>
  <c r="J280" i="6" s="1"/>
  <c r="I293" i="6"/>
  <c r="K293" i="6" s="1"/>
  <c r="I292" i="6"/>
  <c r="I281" i="6" s="1"/>
  <c r="K281" i="6" s="1"/>
  <c r="U290" i="6"/>
  <c r="T290" i="6"/>
  <c r="N290" i="6"/>
  <c r="M290" i="6"/>
  <c r="M288" i="6" s="1"/>
  <c r="P288" i="6" s="1"/>
  <c r="L290" i="6"/>
  <c r="U289" i="6"/>
  <c r="T289" i="6"/>
  <c r="P289" i="6"/>
  <c r="O289" i="6"/>
  <c r="S288" i="6"/>
  <c r="R288" i="6"/>
  <c r="U288" i="6" s="1"/>
  <c r="Q288" i="6"/>
  <c r="T288" i="6" s="1"/>
  <c r="U287" i="6"/>
  <c r="T287" i="6"/>
  <c r="N287" i="6"/>
  <c r="M287" i="6"/>
  <c r="P287" i="6" s="1"/>
  <c r="L287" i="6"/>
  <c r="U286" i="6"/>
  <c r="T286" i="6"/>
  <c r="P286" i="6"/>
  <c r="O286" i="6"/>
  <c r="U285" i="6"/>
  <c r="T285" i="6"/>
  <c r="S285" i="6"/>
  <c r="R285" i="6"/>
  <c r="Q285" i="6"/>
  <c r="N285" i="6"/>
  <c r="U284" i="6"/>
  <c r="S284" i="6"/>
  <c r="R284" i="6"/>
  <c r="Q284" i="6"/>
  <c r="T284" i="6" s="1"/>
  <c r="U283" i="6"/>
  <c r="S283" i="6"/>
  <c r="R283" i="6"/>
  <c r="Q283" i="6"/>
  <c r="P283" i="6"/>
  <c r="O283" i="6"/>
  <c r="N283" i="6"/>
  <c r="M283" i="6"/>
  <c r="L283" i="6"/>
  <c r="U282" i="6"/>
  <c r="R282" i="6"/>
  <c r="J281" i="6"/>
  <c r="I276" i="6"/>
  <c r="K276" i="6" s="1"/>
  <c r="U274" i="6"/>
  <c r="T274" i="6"/>
  <c r="N274" i="6"/>
  <c r="N272" i="6" s="1"/>
  <c r="M274" i="6"/>
  <c r="P274" i="6" s="1"/>
  <c r="L274" i="6"/>
  <c r="O274" i="6" s="1"/>
  <c r="U273" i="6"/>
  <c r="T273" i="6"/>
  <c r="P273" i="6"/>
  <c r="O273" i="6"/>
  <c r="S272" i="6"/>
  <c r="R272" i="6"/>
  <c r="U272" i="6" s="1"/>
  <c r="Q272" i="6"/>
  <c r="T272" i="6" s="1"/>
  <c r="S271" i="6"/>
  <c r="S268" i="6" s="1"/>
  <c r="R271" i="6"/>
  <c r="R269" i="6" s="1"/>
  <c r="Q271" i="6"/>
  <c r="Q268" i="6" s="1"/>
  <c r="Q266" i="6" s="1"/>
  <c r="N271" i="6"/>
  <c r="M271" i="6"/>
  <c r="M269" i="6" s="1"/>
  <c r="L271" i="6"/>
  <c r="U270" i="6"/>
  <c r="T270" i="6"/>
  <c r="P270" i="6"/>
  <c r="O270" i="6"/>
  <c r="T267" i="6"/>
  <c r="S267" i="6"/>
  <c r="R267" i="6"/>
  <c r="Q267" i="6"/>
  <c r="P267" i="6"/>
  <c r="N267" i="6"/>
  <c r="M267" i="6"/>
  <c r="L267" i="6"/>
  <c r="O267" i="6" s="1"/>
  <c r="J265" i="6"/>
  <c r="K263" i="6"/>
  <c r="K262" i="6"/>
  <c r="I260" i="6"/>
  <c r="K260" i="6" s="1"/>
  <c r="L258" i="6"/>
  <c r="L257" i="6"/>
  <c r="L256" i="6"/>
  <c r="L255" i="6"/>
  <c r="P254" i="6"/>
  <c r="N254" i="6"/>
  <c r="J253" i="6"/>
  <c r="J231" i="6" s="1"/>
  <c r="J185" i="6" s="1"/>
  <c r="K252" i="6"/>
  <c r="K251" i="6"/>
  <c r="I249" i="6"/>
  <c r="L247" i="6"/>
  <c r="L246" i="6"/>
  <c r="L245" i="6"/>
  <c r="L244" i="6"/>
  <c r="P243" i="6"/>
  <c r="N243" i="6"/>
  <c r="J242" i="6"/>
  <c r="J241" i="6"/>
  <c r="I241" i="6"/>
  <c r="K241" i="6" s="1"/>
  <c r="K240" i="6"/>
  <c r="J240" i="6"/>
  <c r="I240" i="6"/>
  <c r="J238" i="6"/>
  <c r="N236" i="6"/>
  <c r="N235" i="6"/>
  <c r="N234" i="6"/>
  <c r="N233" i="6"/>
  <c r="I230" i="6"/>
  <c r="K230" i="6" s="1"/>
  <c r="I229" i="6"/>
  <c r="I221" i="6" s="1"/>
  <c r="K221" i="6" s="1"/>
  <c r="I228" i="6"/>
  <c r="K228" i="6" s="1"/>
  <c r="L225" i="6"/>
  <c r="L224" i="6"/>
  <c r="L223" i="6"/>
  <c r="P222" i="6"/>
  <c r="N222" i="6"/>
  <c r="J221" i="6"/>
  <c r="I220" i="6"/>
  <c r="I219" i="6"/>
  <c r="K219" i="6" s="1"/>
  <c r="Q217" i="6"/>
  <c r="Q214" i="6" s="1"/>
  <c r="T214" i="6" s="1"/>
  <c r="L217" i="6"/>
  <c r="L216" i="6"/>
  <c r="L215" i="6"/>
  <c r="U214" i="6"/>
  <c r="S214" i="6"/>
  <c r="P214" i="6"/>
  <c r="N214" i="6"/>
  <c r="J213" i="6"/>
  <c r="I212" i="6"/>
  <c r="K212" i="6" s="1"/>
  <c r="I211" i="6"/>
  <c r="K211" i="6" s="1"/>
  <c r="I209" i="6"/>
  <c r="I202" i="6" s="1"/>
  <c r="K202" i="6" s="1"/>
  <c r="L207" i="6"/>
  <c r="Q206" i="6"/>
  <c r="Q203" i="6" s="1"/>
  <c r="T203" i="6" s="1"/>
  <c r="L206" i="6"/>
  <c r="L205" i="6"/>
  <c r="L204" i="6"/>
  <c r="U203" i="6"/>
  <c r="S203" i="6"/>
  <c r="P203" i="6"/>
  <c r="N203" i="6"/>
  <c r="J202" i="6"/>
  <c r="J199" i="6"/>
  <c r="I198" i="6"/>
  <c r="I195" i="6" s="1"/>
  <c r="K195" i="6" s="1"/>
  <c r="P196" i="6"/>
  <c r="L196" i="6"/>
  <c r="O196" i="6" s="1"/>
  <c r="J195" i="6"/>
  <c r="S194" i="6"/>
  <c r="S192" i="6" s="1"/>
  <c r="R194" i="6"/>
  <c r="Q194" i="6"/>
  <c r="T194" i="6" s="1"/>
  <c r="N194" i="6"/>
  <c r="N192" i="6" s="1"/>
  <c r="M194" i="6"/>
  <c r="P194" i="6" s="1"/>
  <c r="L194" i="6"/>
  <c r="U193" i="6"/>
  <c r="T193" i="6"/>
  <c r="P193" i="6"/>
  <c r="O193" i="6"/>
  <c r="S191" i="6"/>
  <c r="R191" i="6"/>
  <c r="U191" i="6" s="1"/>
  <c r="Q191" i="6"/>
  <c r="N191" i="6"/>
  <c r="N189" i="6" s="1"/>
  <c r="M191" i="6"/>
  <c r="L191" i="6"/>
  <c r="U190" i="6"/>
  <c r="T190" i="6"/>
  <c r="P190" i="6"/>
  <c r="O190" i="6"/>
  <c r="U187" i="6"/>
  <c r="T187" i="6"/>
  <c r="S187" i="6"/>
  <c r="R187" i="6"/>
  <c r="Q187" i="6"/>
  <c r="O187" i="6"/>
  <c r="N187" i="6"/>
  <c r="M187" i="6"/>
  <c r="P187" i="6" s="1"/>
  <c r="L187" i="6"/>
  <c r="K184" i="6"/>
  <c r="I183" i="6"/>
  <c r="U181" i="6"/>
  <c r="T181" i="6"/>
  <c r="N181" i="6"/>
  <c r="N179" i="6" s="1"/>
  <c r="M181" i="6"/>
  <c r="L181" i="6"/>
  <c r="L179" i="6" s="1"/>
  <c r="O179" i="6" s="1"/>
  <c r="U180" i="6"/>
  <c r="T180" i="6"/>
  <c r="P180" i="6"/>
  <c r="O180" i="6"/>
  <c r="U179" i="6"/>
  <c r="T179" i="6"/>
  <c r="S179" i="6"/>
  <c r="R179" i="6"/>
  <c r="Q179" i="6"/>
  <c r="S178" i="6"/>
  <c r="S176" i="6" s="1"/>
  <c r="R178" i="6"/>
  <c r="R176" i="6" s="1"/>
  <c r="U176" i="6" s="1"/>
  <c r="Q178" i="6"/>
  <c r="T178" i="6" s="1"/>
  <c r="N178" i="6"/>
  <c r="N176" i="6" s="1"/>
  <c r="M178" i="6"/>
  <c r="M176" i="6" s="1"/>
  <c r="L178" i="6"/>
  <c r="L176" i="6" s="1"/>
  <c r="U177" i="6"/>
  <c r="T177" i="6"/>
  <c r="P177" i="6"/>
  <c r="O177" i="6"/>
  <c r="S174" i="6"/>
  <c r="R174" i="6"/>
  <c r="U174" i="6" s="1"/>
  <c r="Q174" i="6"/>
  <c r="T174" i="6" s="1"/>
  <c r="P174" i="6"/>
  <c r="N174" i="6"/>
  <c r="M174" i="6"/>
  <c r="L174" i="6"/>
  <c r="J172" i="6"/>
  <c r="I169" i="6"/>
  <c r="I156" i="6" s="1"/>
  <c r="K156" i="6" s="1"/>
  <c r="I168" i="6"/>
  <c r="K168" i="6" s="1"/>
  <c r="I167" i="6"/>
  <c r="K167" i="6" s="1"/>
  <c r="U165" i="6"/>
  <c r="T165" i="6"/>
  <c r="N165" i="6"/>
  <c r="N163" i="6" s="1"/>
  <c r="M165" i="6"/>
  <c r="M163" i="6" s="1"/>
  <c r="P163" i="6" s="1"/>
  <c r="L165" i="6"/>
  <c r="L163" i="6" s="1"/>
  <c r="O163" i="6" s="1"/>
  <c r="U164" i="6"/>
  <c r="T164" i="6"/>
  <c r="P164" i="6"/>
  <c r="O164" i="6"/>
  <c r="T163" i="6"/>
  <c r="S163" i="6"/>
  <c r="R163" i="6"/>
  <c r="U163" i="6" s="1"/>
  <c r="Q163" i="6"/>
  <c r="S162" i="6"/>
  <c r="R162" i="6"/>
  <c r="U162" i="6" s="1"/>
  <c r="Q162" i="6"/>
  <c r="T162" i="6" s="1"/>
  <c r="N162" i="6"/>
  <c r="N160" i="6" s="1"/>
  <c r="M162" i="6"/>
  <c r="M160" i="6" s="1"/>
  <c r="P160" i="6" s="1"/>
  <c r="L162" i="6"/>
  <c r="O162" i="6" s="1"/>
  <c r="U161" i="6"/>
  <c r="T161" i="6"/>
  <c r="P161" i="6"/>
  <c r="O161" i="6"/>
  <c r="T158" i="6"/>
  <c r="S158" i="6"/>
  <c r="R158" i="6"/>
  <c r="U158" i="6" s="1"/>
  <c r="Q158" i="6"/>
  <c r="P158" i="6"/>
  <c r="N158" i="6"/>
  <c r="M158" i="6"/>
  <c r="L158" i="6"/>
  <c r="J156" i="6"/>
  <c r="I154" i="6"/>
  <c r="K154" i="6" s="1"/>
  <c r="I153" i="6"/>
  <c r="K153" i="6" s="1"/>
  <c r="I152" i="6"/>
  <c r="I137" i="6" s="1"/>
  <c r="K137" i="6" s="1"/>
  <c r="I151" i="6"/>
  <c r="K151" i="6" s="1"/>
  <c r="I150" i="6"/>
  <c r="K150" i="6" s="1"/>
  <c r="S147" i="6"/>
  <c r="S145" i="6" s="1"/>
  <c r="R147" i="6"/>
  <c r="R145" i="6" s="1"/>
  <c r="U145" i="6" s="1"/>
  <c r="Q147" i="6"/>
  <c r="T147" i="6" s="1"/>
  <c r="N147" i="6"/>
  <c r="N145" i="6" s="1"/>
  <c r="M147" i="6"/>
  <c r="L147" i="6"/>
  <c r="O147" i="6" s="1"/>
  <c r="U146" i="6"/>
  <c r="T146" i="6"/>
  <c r="P146" i="6"/>
  <c r="O146" i="6"/>
  <c r="S144" i="6"/>
  <c r="R144" i="6"/>
  <c r="U144" i="6" s="1"/>
  <c r="Q144" i="6"/>
  <c r="N144" i="6"/>
  <c r="M144" i="6"/>
  <c r="L144" i="6"/>
  <c r="O144" i="6" s="1"/>
  <c r="U143" i="6"/>
  <c r="T143" i="6"/>
  <c r="P143" i="6"/>
  <c r="O143" i="6"/>
  <c r="S140" i="6"/>
  <c r="R140" i="6"/>
  <c r="Q140" i="6"/>
  <c r="T140" i="6" s="1"/>
  <c r="N140" i="6"/>
  <c r="M140" i="6"/>
  <c r="L140" i="6"/>
  <c r="O140" i="6" s="1"/>
  <c r="J138" i="6"/>
  <c r="J137" i="6"/>
  <c r="J136" i="6"/>
  <c r="I130" i="6"/>
  <c r="K130" i="6" s="1"/>
  <c r="I129" i="6"/>
  <c r="K129" i="6" s="1"/>
  <c r="I128" i="6"/>
  <c r="K128" i="6" s="1"/>
  <c r="I127" i="6"/>
  <c r="K127" i="6" s="1"/>
  <c r="S125" i="6"/>
  <c r="S123" i="6" s="1"/>
  <c r="R125" i="6"/>
  <c r="R123" i="6" s="1"/>
  <c r="U123" i="6" s="1"/>
  <c r="Q125" i="6"/>
  <c r="T125" i="6" s="1"/>
  <c r="N125" i="6"/>
  <c r="N123" i="6" s="1"/>
  <c r="M125" i="6"/>
  <c r="P125" i="6" s="1"/>
  <c r="L125" i="6"/>
  <c r="L123" i="6" s="1"/>
  <c r="O123" i="6" s="1"/>
  <c r="U124" i="6"/>
  <c r="T124" i="6"/>
  <c r="P124" i="6"/>
  <c r="O124" i="6"/>
  <c r="S122" i="6"/>
  <c r="R122" i="6"/>
  <c r="R120" i="6" s="1"/>
  <c r="Q122" i="6"/>
  <c r="N122" i="6"/>
  <c r="N120" i="6" s="1"/>
  <c r="M122" i="6"/>
  <c r="M120" i="6" s="1"/>
  <c r="P120" i="6" s="1"/>
  <c r="L122" i="6"/>
  <c r="L120" i="6" s="1"/>
  <c r="O120" i="6" s="1"/>
  <c r="U121" i="6"/>
  <c r="T121" i="6"/>
  <c r="P121" i="6"/>
  <c r="O121" i="6"/>
  <c r="S118" i="6"/>
  <c r="R118" i="6"/>
  <c r="Q118" i="6"/>
  <c r="T118" i="6" s="1"/>
  <c r="N118" i="6"/>
  <c r="M118" i="6"/>
  <c r="L118" i="6"/>
  <c r="J116" i="6"/>
  <c r="I114" i="6"/>
  <c r="K114" i="6" s="1"/>
  <c r="I113" i="6"/>
  <c r="K113" i="6" s="1"/>
  <c r="I109" i="6"/>
  <c r="K109" i="6" s="1"/>
  <c r="I108" i="6"/>
  <c r="K108" i="6" s="1"/>
  <c r="U102" i="6"/>
  <c r="T102" i="6"/>
  <c r="N102" i="6"/>
  <c r="N100" i="6" s="1"/>
  <c r="M102" i="6"/>
  <c r="P102" i="6" s="1"/>
  <c r="L102" i="6"/>
  <c r="O102" i="6" s="1"/>
  <c r="U101" i="6"/>
  <c r="T101" i="6"/>
  <c r="P101" i="6"/>
  <c r="O101" i="6"/>
  <c r="U100" i="6"/>
  <c r="S100" i="6"/>
  <c r="R100" i="6"/>
  <c r="Q100" i="6"/>
  <c r="T100" i="6" s="1"/>
  <c r="S99" i="6"/>
  <c r="S97" i="6" s="1"/>
  <c r="R99" i="6"/>
  <c r="R96" i="6" s="1"/>
  <c r="R94" i="6" s="1"/>
  <c r="Q99" i="6"/>
  <c r="Q96" i="6" s="1"/>
  <c r="N99" i="6"/>
  <c r="M99" i="6"/>
  <c r="M97" i="6" s="1"/>
  <c r="L99" i="6"/>
  <c r="U98" i="6"/>
  <c r="T98" i="6"/>
  <c r="P98" i="6"/>
  <c r="O98" i="6"/>
  <c r="T95" i="6"/>
  <c r="S95" i="6"/>
  <c r="R95" i="6"/>
  <c r="U95" i="6" s="1"/>
  <c r="Q95" i="6"/>
  <c r="N95" i="6"/>
  <c r="M95" i="6"/>
  <c r="P95" i="6" s="1"/>
  <c r="L95" i="6"/>
  <c r="J93" i="6"/>
  <c r="J92" i="6"/>
  <c r="I90" i="6"/>
  <c r="K90" i="6" s="1"/>
  <c r="I89" i="6"/>
  <c r="K89" i="6" s="1"/>
  <c r="I88" i="6"/>
  <c r="K88" i="6" s="1"/>
  <c r="I87" i="6"/>
  <c r="K87" i="6" s="1"/>
  <c r="I86" i="6"/>
  <c r="K86" i="6" s="1"/>
  <c r="I85" i="6"/>
  <c r="I84" i="6"/>
  <c r="K84" i="6" s="1"/>
  <c r="J83" i="6"/>
  <c r="J82" i="6"/>
  <c r="S80" i="6"/>
  <c r="R80" i="6"/>
  <c r="R78" i="6" s="1"/>
  <c r="U78" i="6" s="1"/>
  <c r="Q80" i="6"/>
  <c r="T80" i="6" s="1"/>
  <c r="N80" i="6"/>
  <c r="N78" i="6" s="1"/>
  <c r="M80" i="6"/>
  <c r="P80" i="6" s="1"/>
  <c r="L80" i="6"/>
  <c r="O80" i="6" s="1"/>
  <c r="U79" i="6"/>
  <c r="T79" i="6"/>
  <c r="P79" i="6"/>
  <c r="O79" i="6"/>
  <c r="S77" i="6"/>
  <c r="S75" i="6" s="1"/>
  <c r="R77" i="6"/>
  <c r="Q77" i="6"/>
  <c r="T77" i="6" s="1"/>
  <c r="N77" i="6"/>
  <c r="M77" i="6"/>
  <c r="P77" i="6" s="1"/>
  <c r="L77" i="6"/>
  <c r="L75" i="6" s="1"/>
  <c r="O75" i="6" s="1"/>
  <c r="U76" i="6"/>
  <c r="T76" i="6"/>
  <c r="P76" i="6"/>
  <c r="O76" i="6"/>
  <c r="U73" i="6"/>
  <c r="S73" i="6"/>
  <c r="R73" i="6"/>
  <c r="Q73" i="6"/>
  <c r="O73" i="6"/>
  <c r="N73" i="6"/>
  <c r="M73" i="6"/>
  <c r="L73" i="6"/>
  <c r="J71" i="6"/>
  <c r="J70" i="6"/>
  <c r="U67" i="6"/>
  <c r="T67" i="6"/>
  <c r="N67" i="6"/>
  <c r="N65" i="6" s="1"/>
  <c r="M67" i="6"/>
  <c r="M65" i="6" s="1"/>
  <c r="L67" i="6"/>
  <c r="O67" i="6" s="1"/>
  <c r="U66" i="6"/>
  <c r="T66" i="6"/>
  <c r="P66" i="6"/>
  <c r="O66" i="6"/>
  <c r="U65" i="6"/>
  <c r="T65" i="6"/>
  <c r="S65" i="6"/>
  <c r="R65" i="6"/>
  <c r="Q65" i="6"/>
  <c r="U64" i="6"/>
  <c r="T64" i="6"/>
  <c r="N64" i="6"/>
  <c r="N62" i="6" s="1"/>
  <c r="M64" i="6"/>
  <c r="M62" i="6" s="1"/>
  <c r="L64" i="6"/>
  <c r="L62" i="6" s="1"/>
  <c r="U63" i="6"/>
  <c r="T63" i="6"/>
  <c r="P63" i="6"/>
  <c r="O63" i="6"/>
  <c r="U62" i="6"/>
  <c r="T62" i="6"/>
  <c r="S62" i="6"/>
  <c r="R62" i="6"/>
  <c r="Q62" i="6"/>
  <c r="S61" i="6"/>
  <c r="R61" i="6"/>
  <c r="U61" i="6" s="1"/>
  <c r="Q61" i="6"/>
  <c r="T61" i="6" s="1"/>
  <c r="U60" i="6"/>
  <c r="T60" i="6"/>
  <c r="S60" i="6"/>
  <c r="S59" i="6" s="1"/>
  <c r="R60" i="6"/>
  <c r="Q60" i="6"/>
  <c r="O60" i="6"/>
  <c r="N60" i="6"/>
  <c r="M60" i="6"/>
  <c r="P60" i="6" s="1"/>
  <c r="L60" i="6"/>
  <c r="T59" i="6"/>
  <c r="Q59" i="6"/>
  <c r="U52" i="6"/>
  <c r="T52" i="6"/>
  <c r="N52" i="6"/>
  <c r="M52" i="6"/>
  <c r="P52" i="6" s="1"/>
  <c r="L52" i="6"/>
  <c r="U51" i="6"/>
  <c r="T51" i="6"/>
  <c r="P51" i="6"/>
  <c r="O51" i="6"/>
  <c r="U50" i="6"/>
  <c r="T50" i="6"/>
  <c r="S50" i="6"/>
  <c r="R50" i="6"/>
  <c r="Q50" i="6"/>
  <c r="N50" i="6"/>
  <c r="U49" i="6"/>
  <c r="T49" i="6"/>
  <c r="N49" i="6"/>
  <c r="N47" i="6" s="1"/>
  <c r="M49" i="6"/>
  <c r="M47" i="6" s="1"/>
  <c r="L49" i="6"/>
  <c r="U48" i="6"/>
  <c r="T48" i="6"/>
  <c r="P48" i="6"/>
  <c r="O48" i="6"/>
  <c r="S47" i="6"/>
  <c r="R47" i="6"/>
  <c r="U47" i="6" s="1"/>
  <c r="Q47" i="6"/>
  <c r="T47" i="6" s="1"/>
  <c r="U46" i="6"/>
  <c r="T46" i="6"/>
  <c r="S46" i="6"/>
  <c r="R46" i="6"/>
  <c r="Q46" i="6"/>
  <c r="S45" i="6"/>
  <c r="S44" i="6" s="1"/>
  <c r="R45" i="6"/>
  <c r="U45" i="6" s="1"/>
  <c r="Q45" i="6"/>
  <c r="T45" i="6" s="1"/>
  <c r="O45" i="6"/>
  <c r="N45" i="6"/>
  <c r="M45" i="6"/>
  <c r="P45" i="6" s="1"/>
  <c r="L45" i="6"/>
  <c r="R44" i="6"/>
  <c r="U44" i="6" s="1"/>
  <c r="Q44" i="6"/>
  <c r="T44" i="6" s="1"/>
  <c r="T25" i="6"/>
  <c r="S25" i="6"/>
  <c r="R25" i="6"/>
  <c r="U25" i="6" s="1"/>
  <c r="Q25" i="6"/>
  <c r="N25" i="6"/>
  <c r="M25" i="6"/>
  <c r="P25" i="6" s="1"/>
  <c r="L25" i="6"/>
  <c r="O25" i="6" s="1"/>
  <c r="T22" i="6"/>
  <c r="S22" i="6"/>
  <c r="R22" i="6"/>
  <c r="U22" i="6" s="1"/>
  <c r="Q22" i="6"/>
  <c r="N22" i="6"/>
  <c r="M22" i="6"/>
  <c r="P22" i="6" s="1"/>
  <c r="L22" i="6"/>
  <c r="O22" i="6" s="1"/>
  <c r="T19" i="6"/>
  <c r="S19" i="6"/>
  <c r="R19" i="6"/>
  <c r="U19" i="6" s="1"/>
  <c r="Q19" i="6"/>
  <c r="N19" i="6"/>
  <c r="M19" i="6"/>
  <c r="P19" i="6" s="1"/>
  <c r="L19" i="6"/>
  <c r="O19" i="6" s="1"/>
  <c r="A789" i="5"/>
  <c r="A788" i="5"/>
  <c r="J785" i="5"/>
  <c r="I785" i="5"/>
  <c r="J784" i="5"/>
  <c r="I784" i="5"/>
  <c r="J783" i="5"/>
  <c r="I783" i="5"/>
  <c r="K783" i="5" s="1"/>
  <c r="J782" i="5"/>
  <c r="I782" i="5"/>
  <c r="K782" i="5" s="1"/>
  <c r="J781" i="5"/>
  <c r="I781" i="5"/>
  <c r="J780" i="5"/>
  <c r="I780" i="5"/>
  <c r="J779" i="5"/>
  <c r="I779" i="5"/>
  <c r="J778" i="5"/>
  <c r="I778" i="5"/>
  <c r="H777" i="5"/>
  <c r="I776" i="5"/>
  <c r="I775" i="5"/>
  <c r="I774" i="5"/>
  <c r="I772" i="5"/>
  <c r="I770" i="5"/>
  <c r="K770" i="5" s="1"/>
  <c r="U768" i="5"/>
  <c r="T768" i="5"/>
  <c r="P768" i="5"/>
  <c r="O768" i="5"/>
  <c r="U767" i="5"/>
  <c r="T767" i="5"/>
  <c r="P767" i="5"/>
  <c r="O767" i="5"/>
  <c r="S766" i="5"/>
  <c r="R766" i="5"/>
  <c r="U766" i="5" s="1"/>
  <c r="Q766" i="5"/>
  <c r="T766" i="5" s="1"/>
  <c r="N766" i="5"/>
  <c r="M766" i="5"/>
  <c r="P766" i="5" s="1"/>
  <c r="L766" i="5"/>
  <c r="O766" i="5" s="1"/>
  <c r="S765" i="5"/>
  <c r="S763" i="5" s="1"/>
  <c r="R765" i="5"/>
  <c r="Q765" i="5"/>
  <c r="T765" i="5" s="1"/>
  <c r="P765" i="5"/>
  <c r="O765" i="5"/>
  <c r="U764" i="5"/>
  <c r="T764" i="5"/>
  <c r="P764" i="5"/>
  <c r="O764" i="5"/>
  <c r="P763" i="5"/>
  <c r="O763" i="5"/>
  <c r="N763" i="5"/>
  <c r="M763" i="5"/>
  <c r="L763" i="5"/>
  <c r="N762" i="5"/>
  <c r="M762" i="5"/>
  <c r="M760" i="5" s="1"/>
  <c r="P760" i="5" s="1"/>
  <c r="L762" i="5"/>
  <c r="S761" i="5"/>
  <c r="R761" i="5"/>
  <c r="U761" i="5" s="1"/>
  <c r="Q761" i="5"/>
  <c r="T761" i="5" s="1"/>
  <c r="P761" i="5"/>
  <c r="N761" i="5"/>
  <c r="M761" i="5"/>
  <c r="L761" i="5"/>
  <c r="O761" i="5" s="1"/>
  <c r="N760" i="5"/>
  <c r="J759" i="5"/>
  <c r="J758" i="5"/>
  <c r="I755" i="5"/>
  <c r="K755" i="5" s="1"/>
  <c r="I752" i="5"/>
  <c r="K752" i="5" s="1"/>
  <c r="I749" i="5"/>
  <c r="K749" i="5" s="1"/>
  <c r="I746" i="5"/>
  <c r="K746" i="5" s="1"/>
  <c r="I744" i="5"/>
  <c r="K744" i="5" s="1"/>
  <c r="I742" i="5"/>
  <c r="K742" i="5" s="1"/>
  <c r="I740" i="5"/>
  <c r="K740" i="5" s="1"/>
  <c r="U736" i="5"/>
  <c r="T736" i="5"/>
  <c r="P736" i="5"/>
  <c r="O736" i="5"/>
  <c r="U735" i="5"/>
  <c r="T735" i="5"/>
  <c r="P735" i="5"/>
  <c r="O735" i="5"/>
  <c r="S734" i="5"/>
  <c r="R734" i="5"/>
  <c r="U734" i="5" s="1"/>
  <c r="Q734" i="5"/>
  <c r="T734" i="5" s="1"/>
  <c r="P734" i="5"/>
  <c r="N734" i="5"/>
  <c r="M734" i="5"/>
  <c r="L734" i="5"/>
  <c r="O734" i="5" s="1"/>
  <c r="S733" i="5"/>
  <c r="S730" i="5" s="1"/>
  <c r="S728" i="5" s="1"/>
  <c r="R733" i="5"/>
  <c r="R731" i="5" s="1"/>
  <c r="Q733" i="5"/>
  <c r="P733" i="5"/>
  <c r="O733" i="5"/>
  <c r="U732" i="5"/>
  <c r="T732" i="5"/>
  <c r="P732" i="5"/>
  <c r="O732" i="5"/>
  <c r="N731" i="5"/>
  <c r="M731" i="5"/>
  <c r="P731" i="5" s="1"/>
  <c r="L731" i="5"/>
  <c r="O731" i="5" s="1"/>
  <c r="P730" i="5"/>
  <c r="N730" i="5"/>
  <c r="M730" i="5"/>
  <c r="L730" i="5"/>
  <c r="L728" i="5" s="1"/>
  <c r="O728" i="5" s="1"/>
  <c r="U729" i="5"/>
  <c r="T729" i="5"/>
  <c r="S729" i="5"/>
  <c r="R729" i="5"/>
  <c r="Q729" i="5"/>
  <c r="P729" i="5"/>
  <c r="O729" i="5"/>
  <c r="N729" i="5"/>
  <c r="M729" i="5"/>
  <c r="L729" i="5"/>
  <c r="N728" i="5"/>
  <c r="M728" i="5"/>
  <c r="P728" i="5" s="1"/>
  <c r="J727" i="5"/>
  <c r="I727" i="5"/>
  <c r="K727" i="5" s="1"/>
  <c r="J726" i="5"/>
  <c r="I726" i="5"/>
  <c r="U722" i="5"/>
  <c r="T722" i="5"/>
  <c r="P722" i="5"/>
  <c r="O722" i="5"/>
  <c r="U721" i="5"/>
  <c r="T721" i="5"/>
  <c r="P721" i="5"/>
  <c r="O721" i="5"/>
  <c r="T720" i="5"/>
  <c r="S720" i="5"/>
  <c r="R720" i="5"/>
  <c r="U720" i="5" s="1"/>
  <c r="Q720" i="5"/>
  <c r="N720" i="5"/>
  <c r="M720" i="5"/>
  <c r="P720" i="5" s="1"/>
  <c r="L720" i="5"/>
  <c r="O720" i="5" s="1"/>
  <c r="U719" i="5"/>
  <c r="T719" i="5"/>
  <c r="P719" i="5"/>
  <c r="O719" i="5"/>
  <c r="U718" i="5"/>
  <c r="T718" i="5"/>
  <c r="P718" i="5"/>
  <c r="O718" i="5"/>
  <c r="T717" i="5"/>
  <c r="S717" i="5"/>
  <c r="R717" i="5"/>
  <c r="U717" i="5" s="1"/>
  <c r="Q717" i="5"/>
  <c r="N717" i="5"/>
  <c r="M717" i="5"/>
  <c r="P717" i="5" s="1"/>
  <c r="L717" i="5"/>
  <c r="O717" i="5" s="1"/>
  <c r="S716" i="5"/>
  <c r="R716" i="5"/>
  <c r="R714" i="5" s="1"/>
  <c r="U714" i="5" s="1"/>
  <c r="Q716" i="5"/>
  <c r="N716" i="5"/>
  <c r="M716" i="5"/>
  <c r="P716" i="5" s="1"/>
  <c r="L716" i="5"/>
  <c r="L714" i="5" s="1"/>
  <c r="O714" i="5" s="1"/>
  <c r="U715" i="5"/>
  <c r="T715" i="5"/>
  <c r="S715" i="5"/>
  <c r="R715" i="5"/>
  <c r="Q715" i="5"/>
  <c r="P715" i="5"/>
  <c r="O715" i="5"/>
  <c r="N715" i="5"/>
  <c r="M715" i="5"/>
  <c r="L715" i="5"/>
  <c r="S714" i="5"/>
  <c r="N714" i="5"/>
  <c r="M714" i="5"/>
  <c r="P714" i="5" s="1"/>
  <c r="K712" i="5"/>
  <c r="J712" i="5"/>
  <c r="K710" i="5"/>
  <c r="J710" i="5"/>
  <c r="J709" i="5"/>
  <c r="I709" i="5"/>
  <c r="K708" i="5"/>
  <c r="J708" i="5"/>
  <c r="J707" i="5"/>
  <c r="I707" i="5"/>
  <c r="K706" i="5"/>
  <c r="J706" i="5"/>
  <c r="J705" i="5"/>
  <c r="I705" i="5"/>
  <c r="K704" i="5"/>
  <c r="J704" i="5"/>
  <c r="J703" i="5"/>
  <c r="I703" i="5"/>
  <c r="K702" i="5"/>
  <c r="I700" i="5"/>
  <c r="K700" i="5" s="1"/>
  <c r="U698" i="5"/>
  <c r="T698" i="5"/>
  <c r="P698" i="5"/>
  <c r="O698" i="5"/>
  <c r="U697" i="5"/>
  <c r="T697" i="5"/>
  <c r="P697" i="5"/>
  <c r="O697" i="5"/>
  <c r="S696" i="5"/>
  <c r="R696" i="5"/>
  <c r="U696" i="5" s="1"/>
  <c r="Q696" i="5"/>
  <c r="T696" i="5" s="1"/>
  <c r="N696" i="5"/>
  <c r="M696" i="5"/>
  <c r="P696" i="5" s="1"/>
  <c r="L696" i="5"/>
  <c r="O696" i="5" s="1"/>
  <c r="S695" i="5"/>
  <c r="S693" i="5" s="1"/>
  <c r="R695" i="5"/>
  <c r="R692" i="5" s="1"/>
  <c r="Q695" i="5"/>
  <c r="P695" i="5"/>
  <c r="O695" i="5"/>
  <c r="U694" i="5"/>
  <c r="T694" i="5"/>
  <c r="P694" i="5"/>
  <c r="O694" i="5"/>
  <c r="P693" i="5"/>
  <c r="O693" i="5"/>
  <c r="N693" i="5"/>
  <c r="M693" i="5"/>
  <c r="L693" i="5"/>
  <c r="N692" i="5"/>
  <c r="M692" i="5"/>
  <c r="L692" i="5"/>
  <c r="O692" i="5" s="1"/>
  <c r="S691" i="5"/>
  <c r="R691" i="5"/>
  <c r="U691" i="5" s="1"/>
  <c r="Q691" i="5"/>
  <c r="N691" i="5"/>
  <c r="N690" i="5" s="1"/>
  <c r="M691" i="5"/>
  <c r="P691" i="5" s="1"/>
  <c r="L691" i="5"/>
  <c r="O691" i="5" s="1"/>
  <c r="J682" i="5"/>
  <c r="I682" i="5"/>
  <c r="K682" i="5" s="1"/>
  <c r="J681" i="5"/>
  <c r="I681" i="5"/>
  <c r="K681" i="5" s="1"/>
  <c r="J680" i="5"/>
  <c r="J679" i="5"/>
  <c r="I679" i="5"/>
  <c r="K679" i="5" s="1"/>
  <c r="J678" i="5"/>
  <c r="I678" i="5"/>
  <c r="K678" i="5" s="1"/>
  <c r="J677" i="5"/>
  <c r="J676" i="5"/>
  <c r="I676" i="5"/>
  <c r="K676" i="5" s="1"/>
  <c r="I675" i="5"/>
  <c r="K675" i="5" s="1"/>
  <c r="I674" i="5"/>
  <c r="K674" i="5" s="1"/>
  <c r="J673" i="5"/>
  <c r="I673" i="5"/>
  <c r="K673" i="5" s="1"/>
  <c r="J672" i="5"/>
  <c r="J671" i="5"/>
  <c r="J661" i="5"/>
  <c r="I661" i="5"/>
  <c r="K661" i="5" s="1"/>
  <c r="I660" i="5"/>
  <c r="I657" i="5"/>
  <c r="J654" i="5"/>
  <c r="I654" i="5"/>
  <c r="K654" i="5" s="1"/>
  <c r="J653" i="5"/>
  <c r="I653" i="5"/>
  <c r="K653" i="5" s="1"/>
  <c r="J652" i="5"/>
  <c r="I652" i="5"/>
  <c r="K652" i="5" s="1"/>
  <c r="U650" i="5"/>
  <c r="T650" i="5"/>
  <c r="P650" i="5"/>
  <c r="O650" i="5"/>
  <c r="U649" i="5"/>
  <c r="T649" i="5"/>
  <c r="P649" i="5"/>
  <c r="O649" i="5"/>
  <c r="S648" i="5"/>
  <c r="R648" i="5"/>
  <c r="U648" i="5" s="1"/>
  <c r="Q648" i="5"/>
  <c r="T648" i="5" s="1"/>
  <c r="N648" i="5"/>
  <c r="M648" i="5"/>
  <c r="P648" i="5" s="1"/>
  <c r="L648" i="5"/>
  <c r="O648" i="5" s="1"/>
  <c r="S647" i="5"/>
  <c r="S645" i="5" s="1"/>
  <c r="R647" i="5"/>
  <c r="U647" i="5" s="1"/>
  <c r="Q647" i="5"/>
  <c r="T647" i="5" s="1"/>
  <c r="P647" i="5"/>
  <c r="O647" i="5"/>
  <c r="U646" i="5"/>
  <c r="T646" i="5"/>
  <c r="P646" i="5"/>
  <c r="O646" i="5"/>
  <c r="P645" i="5"/>
  <c r="O645" i="5"/>
  <c r="N645" i="5"/>
  <c r="M645" i="5"/>
  <c r="L645" i="5"/>
  <c r="O644" i="5"/>
  <c r="N644" i="5"/>
  <c r="N642" i="5" s="1"/>
  <c r="M644" i="5"/>
  <c r="L644" i="5"/>
  <c r="S643" i="5"/>
  <c r="R643" i="5"/>
  <c r="U643" i="5" s="1"/>
  <c r="Q643" i="5"/>
  <c r="N643" i="5"/>
  <c r="M643" i="5"/>
  <c r="P643" i="5" s="1"/>
  <c r="L643" i="5"/>
  <c r="O643" i="5" s="1"/>
  <c r="J636" i="5"/>
  <c r="J635" i="5"/>
  <c r="I635" i="5"/>
  <c r="K635" i="5" s="1"/>
  <c r="J632" i="5"/>
  <c r="I628" i="5"/>
  <c r="K628" i="5" s="1"/>
  <c r="I627" i="5"/>
  <c r="K627" i="5" s="1"/>
  <c r="J626" i="5"/>
  <c r="I626" i="5"/>
  <c r="U624" i="5"/>
  <c r="T624" i="5"/>
  <c r="P624" i="5"/>
  <c r="O624" i="5"/>
  <c r="U623" i="5"/>
  <c r="T623" i="5"/>
  <c r="P623" i="5"/>
  <c r="O623" i="5"/>
  <c r="U622" i="5"/>
  <c r="T622" i="5"/>
  <c r="S622" i="5"/>
  <c r="R622" i="5"/>
  <c r="Q622" i="5"/>
  <c r="O622" i="5"/>
  <c r="N622" i="5"/>
  <c r="M622" i="5"/>
  <c r="P622" i="5" s="1"/>
  <c r="L622" i="5"/>
  <c r="S621" i="5"/>
  <c r="R621" i="5"/>
  <c r="Q621" i="5"/>
  <c r="P621" i="5"/>
  <c r="O621" i="5"/>
  <c r="U620" i="5"/>
  <c r="T620" i="5"/>
  <c r="P620" i="5"/>
  <c r="O620" i="5"/>
  <c r="P619" i="5"/>
  <c r="N619" i="5"/>
  <c r="M619" i="5"/>
  <c r="L619" i="5"/>
  <c r="O619" i="5" s="1"/>
  <c r="P618" i="5"/>
  <c r="O618" i="5"/>
  <c r="N618" i="5"/>
  <c r="N616" i="5" s="1"/>
  <c r="M618" i="5"/>
  <c r="L618" i="5"/>
  <c r="T617" i="5"/>
  <c r="S617" i="5"/>
  <c r="R617" i="5"/>
  <c r="Q617" i="5"/>
  <c r="N617" i="5"/>
  <c r="M617" i="5"/>
  <c r="P617" i="5" s="1"/>
  <c r="L617" i="5"/>
  <c r="J615" i="5"/>
  <c r="S607" i="5"/>
  <c r="S605" i="5" s="1"/>
  <c r="R607" i="5"/>
  <c r="Q607" i="5"/>
  <c r="N607" i="5"/>
  <c r="M607" i="5"/>
  <c r="P607" i="5" s="1"/>
  <c r="L607" i="5"/>
  <c r="L605" i="5" s="1"/>
  <c r="O605" i="5" s="1"/>
  <c r="U606" i="5"/>
  <c r="T606" i="5"/>
  <c r="P606" i="5"/>
  <c r="O606" i="5"/>
  <c r="S604" i="5"/>
  <c r="S602" i="5" s="1"/>
  <c r="R604" i="5"/>
  <c r="R602" i="5" s="1"/>
  <c r="U602" i="5" s="1"/>
  <c r="Q604" i="5"/>
  <c r="N604" i="5"/>
  <c r="N602" i="5" s="1"/>
  <c r="M604" i="5"/>
  <c r="M602" i="5" s="1"/>
  <c r="L604" i="5"/>
  <c r="L602" i="5" s="1"/>
  <c r="U603" i="5"/>
  <c r="T603" i="5"/>
  <c r="P603" i="5"/>
  <c r="O603" i="5"/>
  <c r="U600" i="5"/>
  <c r="S600" i="5"/>
  <c r="R600" i="5"/>
  <c r="Q600" i="5"/>
  <c r="T600" i="5" s="1"/>
  <c r="P600" i="5"/>
  <c r="O600" i="5"/>
  <c r="N600" i="5"/>
  <c r="M600" i="5"/>
  <c r="L600" i="5"/>
  <c r="K587" i="5"/>
  <c r="K586" i="5"/>
  <c r="U584" i="5"/>
  <c r="T584" i="5"/>
  <c r="N584" i="5"/>
  <c r="N582" i="5" s="1"/>
  <c r="M584" i="5"/>
  <c r="P584" i="5" s="1"/>
  <c r="L584" i="5"/>
  <c r="O584" i="5" s="1"/>
  <c r="U583" i="5"/>
  <c r="T583" i="5"/>
  <c r="P583" i="5"/>
  <c r="O583" i="5"/>
  <c r="T582" i="5"/>
  <c r="S582" i="5"/>
  <c r="R582" i="5"/>
  <c r="U582" i="5" s="1"/>
  <c r="Q582" i="5"/>
  <c r="U581" i="5"/>
  <c r="T581" i="5"/>
  <c r="N581" i="5"/>
  <c r="M581" i="5"/>
  <c r="L581" i="5"/>
  <c r="L579" i="5" s="1"/>
  <c r="U580" i="5"/>
  <c r="T580" i="5"/>
  <c r="P580" i="5"/>
  <c r="O580" i="5"/>
  <c r="U579" i="5"/>
  <c r="S579" i="5"/>
  <c r="R579" i="5"/>
  <c r="Q579" i="5"/>
  <c r="T579" i="5" s="1"/>
  <c r="U578" i="5"/>
  <c r="T578" i="5"/>
  <c r="S578" i="5"/>
  <c r="S576" i="5" s="1"/>
  <c r="R578" i="5"/>
  <c r="Q578" i="5"/>
  <c r="S577" i="5"/>
  <c r="R577" i="5"/>
  <c r="Q577" i="5"/>
  <c r="N577" i="5"/>
  <c r="M577" i="5"/>
  <c r="P577" i="5" s="1"/>
  <c r="L577" i="5"/>
  <c r="J575" i="5"/>
  <c r="I575" i="5"/>
  <c r="U563" i="5"/>
  <c r="T563" i="5"/>
  <c r="N563" i="5"/>
  <c r="M563" i="5"/>
  <c r="L563" i="5"/>
  <c r="O563" i="5" s="1"/>
  <c r="U562" i="5"/>
  <c r="T562" i="5"/>
  <c r="P562" i="5"/>
  <c r="O562" i="5"/>
  <c r="U561" i="5"/>
  <c r="S561" i="5"/>
  <c r="R561" i="5"/>
  <c r="Q561" i="5"/>
  <c r="T561" i="5" s="1"/>
  <c r="U560" i="5"/>
  <c r="T560" i="5"/>
  <c r="N560" i="5"/>
  <c r="N558" i="5" s="1"/>
  <c r="M560" i="5"/>
  <c r="M558" i="5" s="1"/>
  <c r="P558" i="5" s="1"/>
  <c r="L560" i="5"/>
  <c r="U559" i="5"/>
  <c r="T559" i="5"/>
  <c r="P559" i="5"/>
  <c r="O559" i="5"/>
  <c r="S558" i="5"/>
  <c r="R558" i="5"/>
  <c r="U558" i="5" s="1"/>
  <c r="Q558" i="5"/>
  <c r="T558" i="5" s="1"/>
  <c r="S557" i="5"/>
  <c r="R557" i="5"/>
  <c r="U557" i="5" s="1"/>
  <c r="Q557" i="5"/>
  <c r="U556" i="5"/>
  <c r="T556" i="5"/>
  <c r="S556" i="5"/>
  <c r="R556" i="5"/>
  <c r="Q556" i="5"/>
  <c r="P556" i="5"/>
  <c r="O556" i="5"/>
  <c r="N556" i="5"/>
  <c r="M556" i="5"/>
  <c r="L556" i="5"/>
  <c r="S555" i="5"/>
  <c r="R555" i="5"/>
  <c r="U555" i="5" s="1"/>
  <c r="J554" i="5"/>
  <c r="I554" i="5"/>
  <c r="K554" i="5" s="1"/>
  <c r="U542" i="5"/>
  <c r="T542" i="5"/>
  <c r="N542" i="5"/>
  <c r="N540" i="5" s="1"/>
  <c r="M542" i="5"/>
  <c r="M540" i="5" s="1"/>
  <c r="P540" i="5" s="1"/>
  <c r="L542" i="5"/>
  <c r="O542" i="5" s="1"/>
  <c r="U541" i="5"/>
  <c r="T541" i="5"/>
  <c r="P541" i="5"/>
  <c r="O541" i="5"/>
  <c r="S540" i="5"/>
  <c r="R540" i="5"/>
  <c r="U540" i="5" s="1"/>
  <c r="Q540" i="5"/>
  <c r="T540" i="5" s="1"/>
  <c r="U539" i="5"/>
  <c r="T539" i="5"/>
  <c r="N539" i="5"/>
  <c r="N537" i="5" s="1"/>
  <c r="M539" i="5"/>
  <c r="L539" i="5"/>
  <c r="O539" i="5" s="1"/>
  <c r="U538" i="5"/>
  <c r="T538" i="5"/>
  <c r="P538" i="5"/>
  <c r="O538" i="5"/>
  <c r="U537" i="5"/>
  <c r="S537" i="5"/>
  <c r="R537" i="5"/>
  <c r="Q537" i="5"/>
  <c r="T537" i="5" s="1"/>
  <c r="T536" i="5"/>
  <c r="S536" i="5"/>
  <c r="S534" i="5" s="1"/>
  <c r="R536" i="5"/>
  <c r="U536" i="5" s="1"/>
  <c r="Q536" i="5"/>
  <c r="S535" i="5"/>
  <c r="R535" i="5"/>
  <c r="Q535" i="5"/>
  <c r="P535" i="5"/>
  <c r="N535" i="5"/>
  <c r="M535" i="5"/>
  <c r="L535" i="5"/>
  <c r="J533" i="5"/>
  <c r="I533" i="5"/>
  <c r="K533" i="5" s="1"/>
  <c r="K524" i="5"/>
  <c r="K523" i="5"/>
  <c r="U521" i="5"/>
  <c r="T521" i="5"/>
  <c r="N521" i="5"/>
  <c r="N519" i="5" s="1"/>
  <c r="M521" i="5"/>
  <c r="L521" i="5"/>
  <c r="O521" i="5" s="1"/>
  <c r="U520" i="5"/>
  <c r="T520" i="5"/>
  <c r="P520" i="5"/>
  <c r="O520" i="5"/>
  <c r="S519" i="5"/>
  <c r="R519" i="5"/>
  <c r="U519" i="5" s="1"/>
  <c r="Q519" i="5"/>
  <c r="T519" i="5" s="1"/>
  <c r="U518" i="5"/>
  <c r="T518" i="5"/>
  <c r="N518" i="5"/>
  <c r="N515" i="5" s="1"/>
  <c r="N513" i="5" s="1"/>
  <c r="M518" i="5"/>
  <c r="L518" i="5"/>
  <c r="L515" i="5" s="1"/>
  <c r="U517" i="5"/>
  <c r="T517" i="5"/>
  <c r="P517" i="5"/>
  <c r="O517" i="5"/>
  <c r="U516" i="5"/>
  <c r="T516" i="5"/>
  <c r="S516" i="5"/>
  <c r="R516" i="5"/>
  <c r="Q516" i="5"/>
  <c r="N516" i="5"/>
  <c r="S515" i="5"/>
  <c r="S513" i="5" s="1"/>
  <c r="R515" i="5"/>
  <c r="Q515" i="5"/>
  <c r="T515" i="5" s="1"/>
  <c r="S514" i="5"/>
  <c r="R514" i="5"/>
  <c r="U514" i="5" s="1"/>
  <c r="Q514" i="5"/>
  <c r="P514" i="5"/>
  <c r="N514" i="5"/>
  <c r="M514" i="5"/>
  <c r="L514" i="5"/>
  <c r="O514" i="5" s="1"/>
  <c r="J512" i="5"/>
  <c r="I512" i="5"/>
  <c r="K512" i="5" s="1"/>
  <c r="I509" i="5"/>
  <c r="K509" i="5" s="1"/>
  <c r="K508" i="5"/>
  <c r="I507" i="5"/>
  <c r="K507" i="5" s="1"/>
  <c r="I506" i="5"/>
  <c r="K506" i="5" s="1"/>
  <c r="I505" i="5"/>
  <c r="K505" i="5" s="1"/>
  <c r="I504" i="5"/>
  <c r="K504" i="5" s="1"/>
  <c r="I503" i="5"/>
  <c r="U501" i="5"/>
  <c r="T501" i="5"/>
  <c r="N501" i="5"/>
  <c r="N499" i="5" s="1"/>
  <c r="M501" i="5"/>
  <c r="P501" i="5" s="1"/>
  <c r="L501" i="5"/>
  <c r="U500" i="5"/>
  <c r="T500" i="5"/>
  <c r="P500" i="5"/>
  <c r="O500" i="5"/>
  <c r="U499" i="5"/>
  <c r="S499" i="5"/>
  <c r="R499" i="5"/>
  <c r="Q499" i="5"/>
  <c r="T499" i="5" s="1"/>
  <c r="S498" i="5"/>
  <c r="S496" i="5" s="1"/>
  <c r="R498" i="5"/>
  <c r="R496" i="5" s="1"/>
  <c r="U496" i="5" s="1"/>
  <c r="Q498" i="5"/>
  <c r="Q495" i="5" s="1"/>
  <c r="N498" i="5"/>
  <c r="N496" i="5" s="1"/>
  <c r="M498" i="5"/>
  <c r="M496" i="5" s="1"/>
  <c r="P496" i="5" s="1"/>
  <c r="L498" i="5"/>
  <c r="L496" i="5" s="1"/>
  <c r="O496" i="5" s="1"/>
  <c r="U497" i="5"/>
  <c r="T497" i="5"/>
  <c r="P497" i="5"/>
  <c r="O497" i="5"/>
  <c r="S494" i="5"/>
  <c r="R494" i="5"/>
  <c r="Q494" i="5"/>
  <c r="T494" i="5" s="1"/>
  <c r="N494" i="5"/>
  <c r="M494" i="5"/>
  <c r="L494" i="5"/>
  <c r="J485" i="5"/>
  <c r="I485" i="5"/>
  <c r="K485" i="5" s="1"/>
  <c r="J484" i="5"/>
  <c r="I484" i="5"/>
  <c r="K484" i="5" s="1"/>
  <c r="K477" i="5"/>
  <c r="J477" i="5"/>
  <c r="K476" i="5"/>
  <c r="J476" i="5"/>
  <c r="K475" i="5"/>
  <c r="J475" i="5"/>
  <c r="J468" i="5"/>
  <c r="J467" i="5"/>
  <c r="J460" i="5"/>
  <c r="J459" i="5"/>
  <c r="J458" i="5"/>
  <c r="I458" i="5"/>
  <c r="J457" i="5"/>
  <c r="J456" i="5" s="1"/>
  <c r="I457" i="5"/>
  <c r="I456" i="5" s="1"/>
  <c r="J447" i="5"/>
  <c r="J441" i="5" s="1"/>
  <c r="J446" i="5"/>
  <c r="J440" i="5" s="1"/>
  <c r="I441" i="5"/>
  <c r="K441" i="5" s="1"/>
  <c r="I440" i="5"/>
  <c r="I423" i="5" s="1"/>
  <c r="J433" i="5"/>
  <c r="I433" i="5"/>
  <c r="K433" i="5" s="1"/>
  <c r="J432" i="5"/>
  <c r="J423" i="5" s="1"/>
  <c r="J412" i="5" s="1"/>
  <c r="I432" i="5"/>
  <c r="J425" i="5"/>
  <c r="I425" i="5"/>
  <c r="K425" i="5" s="1"/>
  <c r="J424" i="5"/>
  <c r="I424" i="5"/>
  <c r="K424" i="5" s="1"/>
  <c r="U421" i="5"/>
  <c r="T421" i="5"/>
  <c r="N421" i="5"/>
  <c r="N419" i="5" s="1"/>
  <c r="M421" i="5"/>
  <c r="P421" i="5" s="1"/>
  <c r="L421" i="5"/>
  <c r="U420" i="5"/>
  <c r="T420" i="5"/>
  <c r="P420" i="5"/>
  <c r="O420" i="5"/>
  <c r="U419" i="5"/>
  <c r="S419" i="5"/>
  <c r="R419" i="5"/>
  <c r="Q419" i="5"/>
  <c r="T419" i="5" s="1"/>
  <c r="S418" i="5"/>
  <c r="R418" i="5"/>
  <c r="R415" i="5" s="1"/>
  <c r="R413" i="5" s="1"/>
  <c r="Q418" i="5"/>
  <c r="Q416" i="5" s="1"/>
  <c r="N418" i="5"/>
  <c r="N416" i="5" s="1"/>
  <c r="M418" i="5"/>
  <c r="L418" i="5"/>
  <c r="U417" i="5"/>
  <c r="T417" i="5"/>
  <c r="P417" i="5"/>
  <c r="O417" i="5"/>
  <c r="U414" i="5"/>
  <c r="T414" i="5"/>
  <c r="S414" i="5"/>
  <c r="R414" i="5"/>
  <c r="Q414" i="5"/>
  <c r="O414" i="5"/>
  <c r="N414" i="5"/>
  <c r="M414" i="5"/>
  <c r="P414" i="5" s="1"/>
  <c r="L414" i="5"/>
  <c r="U400" i="5"/>
  <c r="T400" i="5"/>
  <c r="P400" i="5"/>
  <c r="O400" i="5"/>
  <c r="U399" i="5"/>
  <c r="T399" i="5"/>
  <c r="P399" i="5"/>
  <c r="O399" i="5"/>
  <c r="T398" i="5"/>
  <c r="S398" i="5"/>
  <c r="R398" i="5"/>
  <c r="U398" i="5" s="1"/>
  <c r="Q398" i="5"/>
  <c r="P398" i="5"/>
  <c r="N398" i="5"/>
  <c r="M398" i="5"/>
  <c r="L398" i="5"/>
  <c r="O398" i="5" s="1"/>
  <c r="S397" i="5"/>
  <c r="R397" i="5"/>
  <c r="Q397" i="5"/>
  <c r="Q394" i="5" s="1"/>
  <c r="P397" i="5"/>
  <c r="O397" i="5"/>
  <c r="U396" i="5"/>
  <c r="T396" i="5"/>
  <c r="P396" i="5"/>
  <c r="O396" i="5"/>
  <c r="O395" i="5"/>
  <c r="N395" i="5"/>
  <c r="M395" i="5"/>
  <c r="P395" i="5" s="1"/>
  <c r="L395" i="5"/>
  <c r="O394" i="5"/>
  <c r="N394" i="5"/>
  <c r="M394" i="5"/>
  <c r="P394" i="5" s="1"/>
  <c r="L394" i="5"/>
  <c r="U393" i="5"/>
  <c r="S393" i="5"/>
  <c r="R393" i="5"/>
  <c r="Q393" i="5"/>
  <c r="T393" i="5" s="1"/>
  <c r="O393" i="5"/>
  <c r="N393" i="5"/>
  <c r="N392" i="5" s="1"/>
  <c r="M393" i="5"/>
  <c r="P393" i="5" s="1"/>
  <c r="L393" i="5"/>
  <c r="M392" i="5"/>
  <c r="P392" i="5" s="1"/>
  <c r="L392" i="5"/>
  <c r="O392" i="5" s="1"/>
  <c r="J391" i="5"/>
  <c r="I391" i="5"/>
  <c r="K391" i="5" s="1"/>
  <c r="J388" i="5"/>
  <c r="I388" i="5"/>
  <c r="K388" i="5" s="1"/>
  <c r="K387" i="5"/>
  <c r="J387" i="5"/>
  <c r="J386" i="5"/>
  <c r="I386" i="5"/>
  <c r="K385" i="5"/>
  <c r="J385" i="5"/>
  <c r="U383" i="5"/>
  <c r="T383" i="5"/>
  <c r="N383" i="5"/>
  <c r="N381" i="5" s="1"/>
  <c r="M383" i="5"/>
  <c r="P383" i="5" s="1"/>
  <c r="L383" i="5"/>
  <c r="O383" i="5" s="1"/>
  <c r="U382" i="5"/>
  <c r="T382" i="5"/>
  <c r="P382" i="5"/>
  <c r="O382" i="5"/>
  <c r="U381" i="5"/>
  <c r="S381" i="5"/>
  <c r="R381" i="5"/>
  <c r="Q381" i="5"/>
  <c r="T381" i="5" s="1"/>
  <c r="S380" i="5"/>
  <c r="S378" i="5" s="1"/>
  <c r="R380" i="5"/>
  <c r="R377" i="5" s="1"/>
  <c r="Q380" i="5"/>
  <c r="Q378" i="5" s="1"/>
  <c r="N380" i="5"/>
  <c r="N378" i="5" s="1"/>
  <c r="M380" i="5"/>
  <c r="P380" i="5" s="1"/>
  <c r="L380" i="5"/>
  <c r="O380" i="5" s="1"/>
  <c r="U379" i="5"/>
  <c r="T379" i="5"/>
  <c r="P379" i="5"/>
  <c r="O379" i="5"/>
  <c r="S376" i="5"/>
  <c r="R376" i="5"/>
  <c r="Q376" i="5"/>
  <c r="T376" i="5" s="1"/>
  <c r="O376" i="5"/>
  <c r="N376" i="5"/>
  <c r="M376" i="5"/>
  <c r="P376" i="5" s="1"/>
  <c r="L376" i="5"/>
  <c r="D373" i="5"/>
  <c r="K372" i="5"/>
  <c r="J372" i="5"/>
  <c r="J371" i="5"/>
  <c r="J365" i="5" s="1"/>
  <c r="I371" i="5"/>
  <c r="I365" i="5" s="1"/>
  <c r="K370" i="5"/>
  <c r="J370" i="5"/>
  <c r="J369" i="5"/>
  <c r="I369" i="5"/>
  <c r="J368" i="5"/>
  <c r="I368" i="5"/>
  <c r="K367" i="5"/>
  <c r="J367" i="5"/>
  <c r="U364" i="5"/>
  <c r="T364" i="5"/>
  <c r="N364" i="5"/>
  <c r="N362" i="5" s="1"/>
  <c r="M364" i="5"/>
  <c r="M362" i="5" s="1"/>
  <c r="P362" i="5" s="1"/>
  <c r="L364" i="5"/>
  <c r="U363" i="5"/>
  <c r="T363" i="5"/>
  <c r="P363" i="5"/>
  <c r="O363" i="5"/>
  <c r="S362" i="5"/>
  <c r="R362" i="5"/>
  <c r="U362" i="5" s="1"/>
  <c r="Q362" i="5"/>
  <c r="T362" i="5" s="1"/>
  <c r="U361" i="5"/>
  <c r="T361" i="5"/>
  <c r="N361" i="5"/>
  <c r="N359" i="5" s="1"/>
  <c r="M361" i="5"/>
  <c r="M359" i="5" s="1"/>
  <c r="L361" i="5"/>
  <c r="U360" i="5"/>
  <c r="T360" i="5"/>
  <c r="P360" i="5"/>
  <c r="O360" i="5"/>
  <c r="U359" i="5"/>
  <c r="T359" i="5"/>
  <c r="S359" i="5"/>
  <c r="R359" i="5"/>
  <c r="Q359" i="5"/>
  <c r="S358" i="5"/>
  <c r="R358" i="5"/>
  <c r="U358" i="5" s="1"/>
  <c r="Q358" i="5"/>
  <c r="U357" i="5"/>
  <c r="S357" i="5"/>
  <c r="S356" i="5" s="1"/>
  <c r="R357" i="5"/>
  <c r="R356" i="5" s="1"/>
  <c r="U356" i="5" s="1"/>
  <c r="Q357" i="5"/>
  <c r="T357" i="5" s="1"/>
  <c r="O357" i="5"/>
  <c r="N357" i="5"/>
  <c r="M357" i="5"/>
  <c r="L357" i="5"/>
  <c r="J354" i="5"/>
  <c r="J353" i="5"/>
  <c r="J352" i="5"/>
  <c r="D350" i="5"/>
  <c r="J349" i="5"/>
  <c r="J348" i="5"/>
  <c r="J347" i="5"/>
  <c r="J346" i="5"/>
  <c r="I346" i="5"/>
  <c r="K344" i="5"/>
  <c r="J344" i="5"/>
  <c r="U341" i="5"/>
  <c r="T341" i="5"/>
  <c r="N341" i="5"/>
  <c r="N339" i="5" s="1"/>
  <c r="M341" i="5"/>
  <c r="P341" i="5" s="1"/>
  <c r="L341" i="5"/>
  <c r="L339" i="5" s="1"/>
  <c r="O339" i="5" s="1"/>
  <c r="U340" i="5"/>
  <c r="T340" i="5"/>
  <c r="P340" i="5"/>
  <c r="O340" i="5"/>
  <c r="T339" i="5"/>
  <c r="S339" i="5"/>
  <c r="R339" i="5"/>
  <c r="U339" i="5" s="1"/>
  <c r="Q339" i="5"/>
  <c r="U338" i="5"/>
  <c r="T338" i="5"/>
  <c r="N338" i="5"/>
  <c r="N336" i="5" s="1"/>
  <c r="M338" i="5"/>
  <c r="L338" i="5"/>
  <c r="L336" i="5" s="1"/>
  <c r="U337" i="5"/>
  <c r="T337" i="5"/>
  <c r="P337" i="5"/>
  <c r="O337" i="5"/>
  <c r="U336" i="5"/>
  <c r="S336" i="5"/>
  <c r="R336" i="5"/>
  <c r="Q336" i="5"/>
  <c r="T336" i="5" s="1"/>
  <c r="U335" i="5"/>
  <c r="T335" i="5"/>
  <c r="S335" i="5"/>
  <c r="S333" i="5" s="1"/>
  <c r="R335" i="5"/>
  <c r="Q335" i="5"/>
  <c r="U334" i="5"/>
  <c r="S334" i="5"/>
  <c r="R334" i="5"/>
  <c r="R333" i="5" s="1"/>
  <c r="Q334" i="5"/>
  <c r="T334" i="5" s="1"/>
  <c r="O334" i="5"/>
  <c r="N334" i="5"/>
  <c r="M334" i="5"/>
  <c r="P334" i="5" s="1"/>
  <c r="L334" i="5"/>
  <c r="U333" i="5"/>
  <c r="Q333" i="5"/>
  <c r="T333" i="5" s="1"/>
  <c r="I332" i="5"/>
  <c r="I330" i="5"/>
  <c r="K330" i="5" s="1"/>
  <c r="U328" i="5"/>
  <c r="T328" i="5"/>
  <c r="N328" i="5"/>
  <c r="N326" i="5" s="1"/>
  <c r="M328" i="5"/>
  <c r="P328" i="5" s="1"/>
  <c r="L328" i="5"/>
  <c r="U327" i="5"/>
  <c r="T327" i="5"/>
  <c r="P327" i="5"/>
  <c r="O327" i="5"/>
  <c r="S326" i="5"/>
  <c r="R326" i="5"/>
  <c r="U326" i="5" s="1"/>
  <c r="Q326" i="5"/>
  <c r="T326" i="5" s="1"/>
  <c r="U325" i="5"/>
  <c r="T325" i="5"/>
  <c r="N325" i="5"/>
  <c r="N323" i="5" s="1"/>
  <c r="M325" i="5"/>
  <c r="M323" i="5" s="1"/>
  <c r="P323" i="5" s="1"/>
  <c r="L325" i="5"/>
  <c r="L323" i="5" s="1"/>
  <c r="O323" i="5" s="1"/>
  <c r="U324" i="5"/>
  <c r="T324" i="5"/>
  <c r="P324" i="5"/>
  <c r="O324" i="5"/>
  <c r="U323" i="5"/>
  <c r="T323" i="5"/>
  <c r="S323" i="5"/>
  <c r="R323" i="5"/>
  <c r="Q323" i="5"/>
  <c r="T322" i="5"/>
  <c r="S322" i="5"/>
  <c r="R322" i="5"/>
  <c r="U322" i="5" s="1"/>
  <c r="Q322" i="5"/>
  <c r="T321" i="5"/>
  <c r="S321" i="5"/>
  <c r="R321" i="5"/>
  <c r="U321" i="5" s="1"/>
  <c r="Q321" i="5"/>
  <c r="Q320" i="5" s="1"/>
  <c r="P321" i="5"/>
  <c r="N321" i="5"/>
  <c r="M321" i="5"/>
  <c r="L321" i="5"/>
  <c r="O321" i="5" s="1"/>
  <c r="T320" i="5"/>
  <c r="R320" i="5"/>
  <c r="U320" i="5" s="1"/>
  <c r="J319" i="5"/>
  <c r="I314" i="5"/>
  <c r="U311" i="5"/>
  <c r="T311" i="5"/>
  <c r="N311" i="5"/>
  <c r="M311" i="5"/>
  <c r="P311" i="5" s="1"/>
  <c r="L311" i="5"/>
  <c r="L309" i="5" s="1"/>
  <c r="O309" i="5" s="1"/>
  <c r="U310" i="5"/>
  <c r="T310" i="5"/>
  <c r="P310" i="5"/>
  <c r="O310" i="5"/>
  <c r="S309" i="5"/>
  <c r="R309" i="5"/>
  <c r="U309" i="5" s="1"/>
  <c r="Q309" i="5"/>
  <c r="T309" i="5" s="1"/>
  <c r="S308" i="5"/>
  <c r="S305" i="5" s="1"/>
  <c r="S303" i="5" s="1"/>
  <c r="R308" i="5"/>
  <c r="Q308" i="5"/>
  <c r="Q305" i="5" s="1"/>
  <c r="N308" i="5"/>
  <c r="N306" i="5" s="1"/>
  <c r="M308" i="5"/>
  <c r="L308" i="5"/>
  <c r="O308" i="5" s="1"/>
  <c r="U307" i="5"/>
  <c r="T307" i="5"/>
  <c r="P307" i="5"/>
  <c r="O307" i="5"/>
  <c r="T304" i="5"/>
  <c r="S304" i="5"/>
  <c r="R304" i="5"/>
  <c r="U304" i="5" s="1"/>
  <c r="Q304" i="5"/>
  <c r="P304" i="5"/>
  <c r="N304" i="5"/>
  <c r="M304" i="5"/>
  <c r="L304" i="5"/>
  <c r="O304" i="5" s="1"/>
  <c r="J302" i="5"/>
  <c r="I296" i="5"/>
  <c r="K296" i="5" s="1"/>
  <c r="I295" i="5"/>
  <c r="K295" i="5" s="1"/>
  <c r="J293" i="5"/>
  <c r="I293" i="5"/>
  <c r="K293" i="5" s="1"/>
  <c r="I292" i="5"/>
  <c r="I281" i="5" s="1"/>
  <c r="K281" i="5" s="1"/>
  <c r="U290" i="5"/>
  <c r="T290" i="5"/>
  <c r="N290" i="5"/>
  <c r="N288" i="5" s="1"/>
  <c r="M290" i="5"/>
  <c r="M288" i="5" s="1"/>
  <c r="P288" i="5" s="1"/>
  <c r="L290" i="5"/>
  <c r="L288" i="5" s="1"/>
  <c r="O288" i="5" s="1"/>
  <c r="U289" i="5"/>
  <c r="T289" i="5"/>
  <c r="P289" i="5"/>
  <c r="O289" i="5"/>
  <c r="U288" i="5"/>
  <c r="T288" i="5"/>
  <c r="S288" i="5"/>
  <c r="R288" i="5"/>
  <c r="Q288" i="5"/>
  <c r="U287" i="5"/>
  <c r="T287" i="5"/>
  <c r="N287" i="5"/>
  <c r="N285" i="5" s="1"/>
  <c r="M287" i="5"/>
  <c r="M285" i="5" s="1"/>
  <c r="P285" i="5" s="1"/>
  <c r="L287" i="5"/>
  <c r="O287" i="5" s="1"/>
  <c r="U286" i="5"/>
  <c r="T286" i="5"/>
  <c r="P286" i="5"/>
  <c r="O286" i="5"/>
  <c r="T285" i="5"/>
  <c r="S285" i="5"/>
  <c r="R285" i="5"/>
  <c r="U285" i="5" s="1"/>
  <c r="Q285" i="5"/>
  <c r="T284" i="5"/>
  <c r="S284" i="5"/>
  <c r="R284" i="5"/>
  <c r="U284" i="5" s="1"/>
  <c r="Q284" i="5"/>
  <c r="U283" i="5"/>
  <c r="T283" i="5"/>
  <c r="S283" i="5"/>
  <c r="R283" i="5"/>
  <c r="Q283" i="5"/>
  <c r="P283" i="5"/>
  <c r="O283" i="5"/>
  <c r="N283" i="5"/>
  <c r="M283" i="5"/>
  <c r="L283" i="5"/>
  <c r="S282" i="5"/>
  <c r="R282" i="5"/>
  <c r="U282" i="5" s="1"/>
  <c r="Q282" i="5"/>
  <c r="T282" i="5" s="1"/>
  <c r="J281" i="5"/>
  <c r="J280" i="5"/>
  <c r="I276" i="5"/>
  <c r="K276" i="5" s="1"/>
  <c r="U274" i="5"/>
  <c r="T274" i="5"/>
  <c r="N274" i="5"/>
  <c r="M274" i="5"/>
  <c r="P274" i="5" s="1"/>
  <c r="L274" i="5"/>
  <c r="L272" i="5" s="1"/>
  <c r="O272" i="5" s="1"/>
  <c r="U273" i="5"/>
  <c r="T273" i="5"/>
  <c r="P273" i="5"/>
  <c r="O273" i="5"/>
  <c r="S272" i="5"/>
  <c r="R272" i="5"/>
  <c r="U272" i="5" s="1"/>
  <c r="Q272" i="5"/>
  <c r="T272" i="5" s="1"/>
  <c r="S271" i="5"/>
  <c r="S268" i="5" s="1"/>
  <c r="R271" i="5"/>
  <c r="R268" i="5" s="1"/>
  <c r="Q271" i="5"/>
  <c r="Q268" i="5" s="1"/>
  <c r="Q266" i="5" s="1"/>
  <c r="N271" i="5"/>
  <c r="N269" i="5" s="1"/>
  <c r="M271" i="5"/>
  <c r="M269" i="5" s="1"/>
  <c r="L271" i="5"/>
  <c r="U270" i="5"/>
  <c r="T270" i="5"/>
  <c r="P270" i="5"/>
  <c r="O270" i="5"/>
  <c r="U267" i="5"/>
  <c r="S267" i="5"/>
  <c r="R267" i="5"/>
  <c r="Q267" i="5"/>
  <c r="T267" i="5" s="1"/>
  <c r="N267" i="5"/>
  <c r="M267" i="5"/>
  <c r="P267" i="5" s="1"/>
  <c r="L267" i="5"/>
  <c r="O267" i="5" s="1"/>
  <c r="J265" i="5"/>
  <c r="K263" i="5"/>
  <c r="K262" i="5"/>
  <c r="I260" i="5"/>
  <c r="K260" i="5" s="1"/>
  <c r="L258" i="5"/>
  <c r="L257" i="5"/>
  <c r="L256" i="5"/>
  <c r="L255" i="5"/>
  <c r="P254" i="5"/>
  <c r="N254" i="5"/>
  <c r="J253" i="5"/>
  <c r="I252" i="5"/>
  <c r="I241" i="5" s="1"/>
  <c r="I251" i="5"/>
  <c r="K251" i="5" s="1"/>
  <c r="I249" i="5"/>
  <c r="N247" i="5"/>
  <c r="L247" i="5"/>
  <c r="N246" i="5"/>
  <c r="N235" i="5" s="1"/>
  <c r="L246" i="5"/>
  <c r="N245" i="5"/>
  <c r="L245" i="5"/>
  <c r="N244" i="5"/>
  <c r="L244" i="5"/>
  <c r="P243" i="5"/>
  <c r="J242" i="5"/>
  <c r="J241" i="5"/>
  <c r="J240" i="5"/>
  <c r="J238" i="5"/>
  <c r="N236" i="5"/>
  <c r="N234" i="5"/>
  <c r="J231" i="5"/>
  <c r="J185" i="5" s="1"/>
  <c r="I230" i="5"/>
  <c r="I229" i="5"/>
  <c r="K229" i="5" s="1"/>
  <c r="I228" i="5"/>
  <c r="K228" i="5" s="1"/>
  <c r="L225" i="5"/>
  <c r="L224" i="5"/>
  <c r="L223" i="5"/>
  <c r="P222" i="5"/>
  <c r="N222" i="5"/>
  <c r="J221" i="5"/>
  <c r="I220" i="5"/>
  <c r="I213" i="5" s="1"/>
  <c r="I219" i="5"/>
  <c r="K219" i="5" s="1"/>
  <c r="Q217" i="5"/>
  <c r="Q214" i="5" s="1"/>
  <c r="T214" i="5" s="1"/>
  <c r="L217" i="5"/>
  <c r="L216" i="5"/>
  <c r="L215" i="5"/>
  <c r="U214" i="5"/>
  <c r="S214" i="5"/>
  <c r="P214" i="5"/>
  <c r="N214" i="5"/>
  <c r="J213" i="5"/>
  <c r="I212" i="5"/>
  <c r="K212" i="5" s="1"/>
  <c r="I211" i="5"/>
  <c r="K211" i="5" s="1"/>
  <c r="I209" i="5"/>
  <c r="I202" i="5" s="1"/>
  <c r="K202" i="5" s="1"/>
  <c r="L207" i="5"/>
  <c r="Q206" i="5"/>
  <c r="Q203" i="5" s="1"/>
  <c r="L206" i="5"/>
  <c r="L205" i="5"/>
  <c r="L204" i="5"/>
  <c r="U203" i="5"/>
  <c r="S203" i="5"/>
  <c r="P203" i="5"/>
  <c r="N203" i="5"/>
  <c r="J202" i="5"/>
  <c r="J200" i="5"/>
  <c r="J199" i="5"/>
  <c r="I198" i="5"/>
  <c r="K198" i="5" s="1"/>
  <c r="P196" i="5"/>
  <c r="N196" i="5"/>
  <c r="L196" i="5"/>
  <c r="J195" i="5"/>
  <c r="S194" i="5"/>
  <c r="S192" i="5" s="1"/>
  <c r="R194" i="5"/>
  <c r="Q194" i="5"/>
  <c r="T194" i="5" s="1"/>
  <c r="N194" i="5"/>
  <c r="M194" i="5"/>
  <c r="L194" i="5"/>
  <c r="O194" i="5" s="1"/>
  <c r="U193" i="5"/>
  <c r="T193" i="5"/>
  <c r="P193" i="5"/>
  <c r="O193" i="5"/>
  <c r="S191" i="5"/>
  <c r="R191" i="5"/>
  <c r="R189" i="5" s="1"/>
  <c r="Q191" i="5"/>
  <c r="Q189" i="5" s="1"/>
  <c r="N191" i="5"/>
  <c r="N189" i="5" s="1"/>
  <c r="M191" i="5"/>
  <c r="L191" i="5"/>
  <c r="L189" i="5" s="1"/>
  <c r="U190" i="5"/>
  <c r="T190" i="5"/>
  <c r="P190" i="5"/>
  <c r="O190" i="5"/>
  <c r="T187" i="5"/>
  <c r="S187" i="5"/>
  <c r="R187" i="5"/>
  <c r="U187" i="5" s="1"/>
  <c r="Q187" i="5"/>
  <c r="N187" i="5"/>
  <c r="M187" i="5"/>
  <c r="L187" i="5"/>
  <c r="O187" i="5" s="1"/>
  <c r="K184" i="5"/>
  <c r="I183" i="5"/>
  <c r="U181" i="5"/>
  <c r="T181" i="5"/>
  <c r="N181" i="5"/>
  <c r="M181" i="5"/>
  <c r="L181" i="5"/>
  <c r="O181" i="5" s="1"/>
  <c r="U180" i="5"/>
  <c r="T180" i="5"/>
  <c r="P180" i="5"/>
  <c r="O180" i="5"/>
  <c r="U179" i="5"/>
  <c r="S179" i="5"/>
  <c r="R179" i="5"/>
  <c r="Q179" i="5"/>
  <c r="T179" i="5" s="1"/>
  <c r="S178" i="5"/>
  <c r="S176" i="5" s="1"/>
  <c r="R178" i="5"/>
  <c r="R176" i="5" s="1"/>
  <c r="Q178" i="5"/>
  <c r="Q175" i="5" s="1"/>
  <c r="Q173" i="5" s="1"/>
  <c r="N178" i="5"/>
  <c r="N176" i="5" s="1"/>
  <c r="M178" i="5"/>
  <c r="L178" i="5"/>
  <c r="U177" i="5"/>
  <c r="T177" i="5"/>
  <c r="P177" i="5"/>
  <c r="O177" i="5"/>
  <c r="U174" i="5"/>
  <c r="S174" i="5"/>
  <c r="R174" i="5"/>
  <c r="Q174" i="5"/>
  <c r="T174" i="5" s="1"/>
  <c r="O174" i="5"/>
  <c r="N174" i="5"/>
  <c r="M174" i="5"/>
  <c r="L174" i="5"/>
  <c r="J172" i="5"/>
  <c r="I169" i="5"/>
  <c r="I156" i="5" s="1"/>
  <c r="K156" i="5" s="1"/>
  <c r="I168" i="5"/>
  <c r="K168" i="5" s="1"/>
  <c r="I167" i="5"/>
  <c r="K167" i="5" s="1"/>
  <c r="U165" i="5"/>
  <c r="T165" i="5"/>
  <c r="N165" i="5"/>
  <c r="N163" i="5" s="1"/>
  <c r="M165" i="5"/>
  <c r="L165" i="5"/>
  <c r="L163" i="5" s="1"/>
  <c r="O163" i="5" s="1"/>
  <c r="U164" i="5"/>
  <c r="T164" i="5"/>
  <c r="P164" i="5"/>
  <c r="O164" i="5"/>
  <c r="U163" i="5"/>
  <c r="S163" i="5"/>
  <c r="R163" i="5"/>
  <c r="Q163" i="5"/>
  <c r="T163" i="5" s="1"/>
  <c r="S162" i="5"/>
  <c r="S159" i="5" s="1"/>
  <c r="R162" i="5"/>
  <c r="U162" i="5" s="1"/>
  <c r="Q162" i="5"/>
  <c r="Q160" i="5" s="1"/>
  <c r="T160" i="5" s="1"/>
  <c r="N162" i="5"/>
  <c r="N160" i="5" s="1"/>
  <c r="M162" i="5"/>
  <c r="L162" i="5"/>
  <c r="L160" i="5" s="1"/>
  <c r="O160" i="5" s="1"/>
  <c r="U161" i="5"/>
  <c r="T161" i="5"/>
  <c r="P161" i="5"/>
  <c r="O161" i="5"/>
  <c r="U158" i="5"/>
  <c r="S158" i="5"/>
  <c r="R158" i="5"/>
  <c r="Q158" i="5"/>
  <c r="T158" i="5" s="1"/>
  <c r="O158" i="5"/>
  <c r="N158" i="5"/>
  <c r="M158" i="5"/>
  <c r="L158" i="5"/>
  <c r="J156" i="5"/>
  <c r="I154" i="5"/>
  <c r="I153" i="5"/>
  <c r="K153" i="5" s="1"/>
  <c r="I152" i="5"/>
  <c r="I151" i="5"/>
  <c r="K151" i="5" s="1"/>
  <c r="I150" i="5"/>
  <c r="K150" i="5" s="1"/>
  <c r="S147" i="5"/>
  <c r="S145" i="5" s="1"/>
  <c r="R147" i="5"/>
  <c r="U147" i="5" s="1"/>
  <c r="Q147" i="5"/>
  <c r="N147" i="5"/>
  <c r="N145" i="5" s="1"/>
  <c r="M147" i="5"/>
  <c r="L147" i="5"/>
  <c r="U146" i="5"/>
  <c r="T146" i="5"/>
  <c r="P146" i="5"/>
  <c r="O146" i="5"/>
  <c r="S144" i="5"/>
  <c r="S142" i="5" s="1"/>
  <c r="R144" i="5"/>
  <c r="Q144" i="5"/>
  <c r="Q142" i="5" s="1"/>
  <c r="N144" i="5"/>
  <c r="N142" i="5" s="1"/>
  <c r="M144" i="5"/>
  <c r="M142" i="5" s="1"/>
  <c r="L144" i="5"/>
  <c r="L142" i="5" s="1"/>
  <c r="U143" i="5"/>
  <c r="T143" i="5"/>
  <c r="P143" i="5"/>
  <c r="O143" i="5"/>
  <c r="T140" i="5"/>
  <c r="S140" i="5"/>
  <c r="R140" i="5"/>
  <c r="U140" i="5" s="1"/>
  <c r="Q140" i="5"/>
  <c r="P140" i="5"/>
  <c r="N140" i="5"/>
  <c r="M140" i="5"/>
  <c r="L140" i="5"/>
  <c r="J138" i="5"/>
  <c r="J137" i="5"/>
  <c r="J136" i="5"/>
  <c r="I130" i="5"/>
  <c r="K130" i="5" s="1"/>
  <c r="I129" i="5"/>
  <c r="K129" i="5" s="1"/>
  <c r="I128" i="5"/>
  <c r="K128" i="5" s="1"/>
  <c r="I127" i="5"/>
  <c r="K127" i="5" s="1"/>
  <c r="S125" i="5"/>
  <c r="S123" i="5" s="1"/>
  <c r="R125" i="5"/>
  <c r="Q125" i="5"/>
  <c r="T125" i="5" s="1"/>
  <c r="N125" i="5"/>
  <c r="N123" i="5" s="1"/>
  <c r="M125" i="5"/>
  <c r="M123" i="5" s="1"/>
  <c r="P123" i="5" s="1"/>
  <c r="L125" i="5"/>
  <c r="O125" i="5" s="1"/>
  <c r="U124" i="5"/>
  <c r="T124" i="5"/>
  <c r="P124" i="5"/>
  <c r="O124" i="5"/>
  <c r="S122" i="5"/>
  <c r="S120" i="5" s="1"/>
  <c r="R122" i="5"/>
  <c r="Q122" i="5"/>
  <c r="N122" i="5"/>
  <c r="N120" i="5" s="1"/>
  <c r="M122" i="5"/>
  <c r="M120" i="5" s="1"/>
  <c r="P120" i="5" s="1"/>
  <c r="L122" i="5"/>
  <c r="O122" i="5" s="1"/>
  <c r="U121" i="5"/>
  <c r="T121" i="5"/>
  <c r="P121" i="5"/>
  <c r="O121" i="5"/>
  <c r="T118" i="5"/>
  <c r="S118" i="5"/>
  <c r="R118" i="5"/>
  <c r="U118" i="5" s="1"/>
  <c r="Q118" i="5"/>
  <c r="P118" i="5"/>
  <c r="N118" i="5"/>
  <c r="M118" i="5"/>
  <c r="L118" i="5"/>
  <c r="O118" i="5" s="1"/>
  <c r="J116" i="5"/>
  <c r="I114" i="5"/>
  <c r="K114" i="5" s="1"/>
  <c r="I109" i="5"/>
  <c r="K109" i="5" s="1"/>
  <c r="I108" i="5"/>
  <c r="K108" i="5" s="1"/>
  <c r="U102" i="5"/>
  <c r="T102" i="5"/>
  <c r="N102" i="5"/>
  <c r="N100" i="5" s="1"/>
  <c r="M102" i="5"/>
  <c r="M100" i="5" s="1"/>
  <c r="P100" i="5" s="1"/>
  <c r="L102" i="5"/>
  <c r="O102" i="5" s="1"/>
  <c r="U101" i="5"/>
  <c r="T101" i="5"/>
  <c r="P101" i="5"/>
  <c r="O101" i="5"/>
  <c r="T100" i="5"/>
  <c r="S100" i="5"/>
  <c r="R100" i="5"/>
  <c r="U100" i="5" s="1"/>
  <c r="Q100" i="5"/>
  <c r="S99" i="5"/>
  <c r="S97" i="5" s="1"/>
  <c r="R99" i="5"/>
  <c r="Q99" i="5"/>
  <c r="T99" i="5" s="1"/>
  <c r="N99" i="5"/>
  <c r="N97" i="5" s="1"/>
  <c r="M99" i="5"/>
  <c r="M97" i="5" s="1"/>
  <c r="P97" i="5" s="1"/>
  <c r="L99" i="5"/>
  <c r="O99" i="5" s="1"/>
  <c r="U98" i="5"/>
  <c r="T98" i="5"/>
  <c r="P98" i="5"/>
  <c r="O98" i="5"/>
  <c r="S95" i="5"/>
  <c r="R95" i="5"/>
  <c r="U95" i="5" s="1"/>
  <c r="Q95" i="5"/>
  <c r="P95" i="5"/>
  <c r="N95" i="5"/>
  <c r="M95" i="5"/>
  <c r="L95" i="5"/>
  <c r="O95" i="5" s="1"/>
  <c r="J93" i="5"/>
  <c r="J92" i="5"/>
  <c r="I90" i="5"/>
  <c r="K90" i="5" s="1"/>
  <c r="I89" i="5"/>
  <c r="K89" i="5" s="1"/>
  <c r="I88" i="5"/>
  <c r="K88" i="5" s="1"/>
  <c r="I87" i="5"/>
  <c r="K87" i="5" s="1"/>
  <c r="I86" i="5"/>
  <c r="K86" i="5" s="1"/>
  <c r="I85" i="5"/>
  <c r="I84" i="5"/>
  <c r="K84" i="5" s="1"/>
  <c r="J83" i="5"/>
  <c r="J71" i="5" s="1"/>
  <c r="J82" i="5"/>
  <c r="S80" i="5"/>
  <c r="S78" i="5" s="1"/>
  <c r="R80" i="5"/>
  <c r="Q80" i="5"/>
  <c r="T80" i="5" s="1"/>
  <c r="N80" i="5"/>
  <c r="N78" i="5" s="1"/>
  <c r="M80" i="5"/>
  <c r="M78" i="5" s="1"/>
  <c r="P78" i="5" s="1"/>
  <c r="L80" i="5"/>
  <c r="L78" i="5" s="1"/>
  <c r="O78" i="5" s="1"/>
  <c r="U79" i="5"/>
  <c r="T79" i="5"/>
  <c r="P79" i="5"/>
  <c r="O79" i="5"/>
  <c r="S77" i="5"/>
  <c r="S75" i="5" s="1"/>
  <c r="R77" i="5"/>
  <c r="U77" i="5" s="1"/>
  <c r="Q77" i="5"/>
  <c r="N77" i="5"/>
  <c r="M77" i="5"/>
  <c r="L77" i="5"/>
  <c r="O77" i="5" s="1"/>
  <c r="U76" i="5"/>
  <c r="T76" i="5"/>
  <c r="P76" i="5"/>
  <c r="O76" i="5"/>
  <c r="T73" i="5"/>
  <c r="S73" i="5"/>
  <c r="R73" i="5"/>
  <c r="U73" i="5" s="1"/>
  <c r="Q73" i="5"/>
  <c r="N73" i="5"/>
  <c r="M73" i="5"/>
  <c r="L73" i="5"/>
  <c r="O73" i="5" s="1"/>
  <c r="J70" i="5"/>
  <c r="U67" i="5"/>
  <c r="T67" i="5"/>
  <c r="N67" i="5"/>
  <c r="N65" i="5" s="1"/>
  <c r="M67" i="5"/>
  <c r="L67" i="5"/>
  <c r="L65" i="5" s="1"/>
  <c r="U66" i="5"/>
  <c r="T66" i="5"/>
  <c r="P66" i="5"/>
  <c r="O66" i="5"/>
  <c r="U65" i="5"/>
  <c r="S65" i="5"/>
  <c r="R65" i="5"/>
  <c r="Q65" i="5"/>
  <c r="T65" i="5" s="1"/>
  <c r="U64" i="5"/>
  <c r="T64" i="5"/>
  <c r="N64" i="5"/>
  <c r="M64" i="5"/>
  <c r="M62" i="5" s="1"/>
  <c r="L64" i="5"/>
  <c r="L62" i="5" s="1"/>
  <c r="U63" i="5"/>
  <c r="T63" i="5"/>
  <c r="P63" i="5"/>
  <c r="O63" i="5"/>
  <c r="S62" i="5"/>
  <c r="R62" i="5"/>
  <c r="U62" i="5" s="1"/>
  <c r="Q62" i="5"/>
  <c r="T62" i="5" s="1"/>
  <c r="T61" i="5"/>
  <c r="S61" i="5"/>
  <c r="R61" i="5"/>
  <c r="U61" i="5" s="1"/>
  <c r="Q61" i="5"/>
  <c r="T60" i="5"/>
  <c r="S60" i="5"/>
  <c r="S59" i="5" s="1"/>
  <c r="R60" i="5"/>
  <c r="U60" i="5" s="1"/>
  <c r="Q60" i="5"/>
  <c r="N60" i="5"/>
  <c r="M60" i="5"/>
  <c r="L60" i="5"/>
  <c r="O60" i="5" s="1"/>
  <c r="Q59" i="5"/>
  <c r="T59" i="5" s="1"/>
  <c r="U52" i="5"/>
  <c r="T52" i="5"/>
  <c r="N52" i="5"/>
  <c r="N50" i="5" s="1"/>
  <c r="M52" i="5"/>
  <c r="L52" i="5"/>
  <c r="O52" i="5" s="1"/>
  <c r="U51" i="5"/>
  <c r="T51" i="5"/>
  <c r="P51" i="5"/>
  <c r="O51" i="5"/>
  <c r="U50" i="5"/>
  <c r="S50" i="5"/>
  <c r="R50" i="5"/>
  <c r="Q50" i="5"/>
  <c r="T50" i="5" s="1"/>
  <c r="U49" i="5"/>
  <c r="T49" i="5"/>
  <c r="N49" i="5"/>
  <c r="M49" i="5"/>
  <c r="M47" i="5" s="1"/>
  <c r="L49" i="5"/>
  <c r="L47" i="5" s="1"/>
  <c r="U48" i="5"/>
  <c r="T48" i="5"/>
  <c r="P48" i="5"/>
  <c r="O48" i="5"/>
  <c r="S47" i="5"/>
  <c r="R47" i="5"/>
  <c r="U47" i="5" s="1"/>
  <c r="Q47" i="5"/>
  <c r="T47" i="5" s="1"/>
  <c r="T46" i="5"/>
  <c r="S46" i="5"/>
  <c r="R46" i="5"/>
  <c r="U46" i="5" s="1"/>
  <c r="Q46" i="5"/>
  <c r="T45" i="5"/>
  <c r="S45" i="5"/>
  <c r="R45" i="5"/>
  <c r="U45" i="5" s="1"/>
  <c r="Q45" i="5"/>
  <c r="N45" i="5"/>
  <c r="M45" i="5"/>
  <c r="L45" i="5"/>
  <c r="O45" i="5" s="1"/>
  <c r="S44" i="5"/>
  <c r="Q44" i="5"/>
  <c r="T44" i="5" s="1"/>
  <c r="U25" i="5"/>
  <c r="T25" i="5"/>
  <c r="S25" i="5"/>
  <c r="R25" i="5"/>
  <c r="Q25" i="5"/>
  <c r="N25" i="5"/>
  <c r="M25" i="5"/>
  <c r="P25" i="5" s="1"/>
  <c r="L25" i="5"/>
  <c r="U22" i="5"/>
  <c r="T22" i="5"/>
  <c r="S22" i="5"/>
  <c r="S19" i="5" s="1"/>
  <c r="R22" i="5"/>
  <c r="Q22" i="5"/>
  <c r="Q19" i="5" s="1"/>
  <c r="O22" i="5"/>
  <c r="N22" i="5"/>
  <c r="M22" i="5"/>
  <c r="P22" i="5" s="1"/>
  <c r="L22" i="5"/>
  <c r="L19" i="5" s="1"/>
  <c r="U19" i="5"/>
  <c r="R19" i="5"/>
  <c r="N19" i="5"/>
  <c r="A789" i="4"/>
  <c r="A788" i="4"/>
  <c r="J785" i="4"/>
  <c r="I785" i="4"/>
  <c r="J784" i="4"/>
  <c r="I784" i="4"/>
  <c r="J783" i="4"/>
  <c r="I783" i="4"/>
  <c r="K783" i="4" s="1"/>
  <c r="J782" i="4"/>
  <c r="I782" i="4"/>
  <c r="K782" i="4" s="1"/>
  <c r="J781" i="4"/>
  <c r="I781" i="4"/>
  <c r="J780" i="4"/>
  <c r="I780" i="4"/>
  <c r="J779" i="4"/>
  <c r="I779" i="4"/>
  <c r="J778" i="4"/>
  <c r="I778" i="4"/>
  <c r="H777" i="4"/>
  <c r="I776" i="4"/>
  <c r="I775" i="4"/>
  <c r="I774" i="4"/>
  <c r="I759" i="4" s="1"/>
  <c r="I772" i="4"/>
  <c r="K772" i="4" s="1"/>
  <c r="I770" i="4"/>
  <c r="K770" i="4" s="1"/>
  <c r="U768" i="4"/>
  <c r="T768" i="4"/>
  <c r="P768" i="4"/>
  <c r="O768" i="4"/>
  <c r="U767" i="4"/>
  <c r="T767" i="4"/>
  <c r="P767" i="4"/>
  <c r="O767" i="4"/>
  <c r="U766" i="4"/>
  <c r="S766" i="4"/>
  <c r="R766" i="4"/>
  <c r="Q766" i="4"/>
  <c r="T766" i="4" s="1"/>
  <c r="O766" i="4"/>
  <c r="N766" i="4"/>
  <c r="M766" i="4"/>
  <c r="P766" i="4" s="1"/>
  <c r="L766" i="4"/>
  <c r="S765" i="4"/>
  <c r="S762" i="4" s="1"/>
  <c r="S760" i="4" s="1"/>
  <c r="R765" i="4"/>
  <c r="Q765" i="4"/>
  <c r="P765" i="4"/>
  <c r="O765" i="4"/>
  <c r="U764" i="4"/>
  <c r="T764" i="4"/>
  <c r="P764" i="4"/>
  <c r="O764" i="4"/>
  <c r="P763" i="4"/>
  <c r="N763" i="4"/>
  <c r="M763" i="4"/>
  <c r="L763" i="4"/>
  <c r="O763" i="4" s="1"/>
  <c r="P762" i="4"/>
  <c r="N762" i="4"/>
  <c r="M762" i="4"/>
  <c r="L762" i="4"/>
  <c r="O762" i="4" s="1"/>
  <c r="T761" i="4"/>
  <c r="S761" i="4"/>
  <c r="R761" i="4"/>
  <c r="Q761" i="4"/>
  <c r="P761" i="4"/>
  <c r="N761" i="4"/>
  <c r="M761" i="4"/>
  <c r="L761" i="4"/>
  <c r="P760" i="4"/>
  <c r="N760" i="4"/>
  <c r="M760" i="4"/>
  <c r="J759" i="4"/>
  <c r="J758" i="4"/>
  <c r="I755" i="4"/>
  <c r="K755" i="4" s="1"/>
  <c r="I752" i="4"/>
  <c r="K752" i="4" s="1"/>
  <c r="I749" i="4"/>
  <c r="K749" i="4" s="1"/>
  <c r="I746" i="4"/>
  <c r="K746" i="4" s="1"/>
  <c r="I744" i="4"/>
  <c r="K744" i="4" s="1"/>
  <c r="I742" i="4"/>
  <c r="K742" i="4" s="1"/>
  <c r="I740" i="4"/>
  <c r="K740" i="4" s="1"/>
  <c r="U736" i="4"/>
  <c r="T736" i="4"/>
  <c r="P736" i="4"/>
  <c r="O736" i="4"/>
  <c r="U735" i="4"/>
  <c r="T735" i="4"/>
  <c r="P735" i="4"/>
  <c r="O735" i="4"/>
  <c r="T734" i="4"/>
  <c r="S734" i="4"/>
  <c r="R734" i="4"/>
  <c r="U734" i="4" s="1"/>
  <c r="Q734" i="4"/>
  <c r="P734" i="4"/>
  <c r="N734" i="4"/>
  <c r="M734" i="4"/>
  <c r="L734" i="4"/>
  <c r="O734" i="4" s="1"/>
  <c r="S733" i="4"/>
  <c r="S730" i="4" s="1"/>
  <c r="S728" i="4" s="1"/>
  <c r="R733" i="4"/>
  <c r="Q733" i="4"/>
  <c r="P733" i="4"/>
  <c r="O733" i="4"/>
  <c r="U732" i="4"/>
  <c r="T732" i="4"/>
  <c r="P732" i="4"/>
  <c r="O732" i="4"/>
  <c r="O731" i="4"/>
  <c r="N731" i="4"/>
  <c r="M731" i="4"/>
  <c r="P731" i="4" s="1"/>
  <c r="L731" i="4"/>
  <c r="O730" i="4"/>
  <c r="N730" i="4"/>
  <c r="M730" i="4"/>
  <c r="P730" i="4" s="1"/>
  <c r="L730" i="4"/>
  <c r="U729" i="4"/>
  <c r="S729" i="4"/>
  <c r="R729" i="4"/>
  <c r="Q729" i="4"/>
  <c r="O729" i="4"/>
  <c r="N729" i="4"/>
  <c r="N728" i="4" s="1"/>
  <c r="M729" i="4"/>
  <c r="P729" i="4" s="1"/>
  <c r="L729" i="4"/>
  <c r="O728" i="4"/>
  <c r="M728" i="4"/>
  <c r="P728" i="4" s="1"/>
  <c r="L728" i="4"/>
  <c r="J727" i="4"/>
  <c r="I727" i="4"/>
  <c r="K727" i="4" s="1"/>
  <c r="J726" i="4"/>
  <c r="I726" i="4"/>
  <c r="U722" i="4"/>
  <c r="T722" i="4"/>
  <c r="P722" i="4"/>
  <c r="O722" i="4"/>
  <c r="U721" i="4"/>
  <c r="T721" i="4"/>
  <c r="P721" i="4"/>
  <c r="O721" i="4"/>
  <c r="U720" i="4"/>
  <c r="S720" i="4"/>
  <c r="R720" i="4"/>
  <c r="Q720" i="4"/>
  <c r="T720" i="4" s="1"/>
  <c r="O720" i="4"/>
  <c r="N720" i="4"/>
  <c r="M720" i="4"/>
  <c r="P720" i="4" s="1"/>
  <c r="L720" i="4"/>
  <c r="U719" i="4"/>
  <c r="T719" i="4"/>
  <c r="P719" i="4"/>
  <c r="O719" i="4"/>
  <c r="U718" i="4"/>
  <c r="T718" i="4"/>
  <c r="P718" i="4"/>
  <c r="O718" i="4"/>
  <c r="U717" i="4"/>
  <c r="S717" i="4"/>
  <c r="R717" i="4"/>
  <c r="Q717" i="4"/>
  <c r="T717" i="4" s="1"/>
  <c r="O717" i="4"/>
  <c r="N717" i="4"/>
  <c r="M717" i="4"/>
  <c r="P717" i="4" s="1"/>
  <c r="L717" i="4"/>
  <c r="U716" i="4"/>
  <c r="S716" i="4"/>
  <c r="R716" i="4"/>
  <c r="Q716" i="4"/>
  <c r="T716" i="4" s="1"/>
  <c r="O716" i="4"/>
  <c r="N716" i="4"/>
  <c r="M716" i="4"/>
  <c r="L716" i="4"/>
  <c r="U715" i="4"/>
  <c r="S715" i="4"/>
  <c r="R715" i="4"/>
  <c r="Q715" i="4"/>
  <c r="O715" i="4"/>
  <c r="N715" i="4"/>
  <c r="N714" i="4" s="1"/>
  <c r="M715" i="4"/>
  <c r="P715" i="4" s="1"/>
  <c r="L715" i="4"/>
  <c r="U714" i="4"/>
  <c r="S714" i="4"/>
  <c r="R714" i="4"/>
  <c r="O714" i="4"/>
  <c r="L714" i="4"/>
  <c r="K712" i="4"/>
  <c r="J712" i="4"/>
  <c r="K710" i="4"/>
  <c r="J710" i="4"/>
  <c r="J709" i="4"/>
  <c r="I709" i="4"/>
  <c r="K708" i="4"/>
  <c r="J708" i="4"/>
  <c r="J707" i="4"/>
  <c r="I707" i="4"/>
  <c r="K707" i="4" s="1"/>
  <c r="K706" i="4"/>
  <c r="J706" i="4"/>
  <c r="J705" i="4"/>
  <c r="I705" i="4"/>
  <c r="K704" i="4"/>
  <c r="J704" i="4"/>
  <c r="J703" i="4"/>
  <c r="I703" i="4"/>
  <c r="K703" i="4" s="1"/>
  <c r="K702" i="4"/>
  <c r="I700" i="4"/>
  <c r="K700" i="4" s="1"/>
  <c r="U698" i="4"/>
  <c r="T698" i="4"/>
  <c r="P698" i="4"/>
  <c r="O698" i="4"/>
  <c r="U697" i="4"/>
  <c r="T697" i="4"/>
  <c r="P697" i="4"/>
  <c r="O697" i="4"/>
  <c r="T696" i="4"/>
  <c r="S696" i="4"/>
  <c r="R696" i="4"/>
  <c r="U696" i="4" s="1"/>
  <c r="Q696" i="4"/>
  <c r="P696" i="4"/>
  <c r="N696" i="4"/>
  <c r="M696" i="4"/>
  <c r="L696" i="4"/>
  <c r="O696" i="4" s="1"/>
  <c r="S695" i="4"/>
  <c r="S693" i="4" s="1"/>
  <c r="R695" i="4"/>
  <c r="Q695" i="4"/>
  <c r="Q693" i="4" s="1"/>
  <c r="P695" i="4"/>
  <c r="O695" i="4"/>
  <c r="U694" i="4"/>
  <c r="T694" i="4"/>
  <c r="P694" i="4"/>
  <c r="O694" i="4"/>
  <c r="O693" i="4"/>
  <c r="N693" i="4"/>
  <c r="M693" i="4"/>
  <c r="P693" i="4" s="1"/>
  <c r="L693" i="4"/>
  <c r="O692" i="4"/>
  <c r="N692" i="4"/>
  <c r="M692" i="4"/>
  <c r="P692" i="4" s="1"/>
  <c r="L692" i="4"/>
  <c r="L690" i="4" s="1"/>
  <c r="U691" i="4"/>
  <c r="S691" i="4"/>
  <c r="R691" i="4"/>
  <c r="Q691" i="4"/>
  <c r="T691" i="4" s="1"/>
  <c r="O691" i="4"/>
  <c r="N691" i="4"/>
  <c r="M691" i="4"/>
  <c r="L691" i="4"/>
  <c r="O690" i="4"/>
  <c r="N690" i="4"/>
  <c r="J682" i="4"/>
  <c r="I682" i="4"/>
  <c r="K682" i="4" s="1"/>
  <c r="J681" i="4"/>
  <c r="I681" i="4"/>
  <c r="K681" i="4" s="1"/>
  <c r="J680" i="4"/>
  <c r="J679" i="4"/>
  <c r="I679" i="4"/>
  <c r="K679" i="4" s="1"/>
  <c r="J678" i="4"/>
  <c r="I678" i="4"/>
  <c r="K678" i="4" s="1"/>
  <c r="J677" i="4"/>
  <c r="J676" i="4"/>
  <c r="I676" i="4"/>
  <c r="K676" i="4" s="1"/>
  <c r="I675" i="4"/>
  <c r="K675" i="4" s="1"/>
  <c r="I674" i="4"/>
  <c r="K674" i="4" s="1"/>
  <c r="J673" i="4"/>
  <c r="I673" i="4"/>
  <c r="K673" i="4" s="1"/>
  <c r="J672" i="4"/>
  <c r="J671" i="4"/>
  <c r="J661" i="4"/>
  <c r="I661" i="4"/>
  <c r="K661" i="4" s="1"/>
  <c r="I660" i="4"/>
  <c r="I657" i="4"/>
  <c r="J654" i="4"/>
  <c r="I654" i="4"/>
  <c r="K654" i="4" s="1"/>
  <c r="J653" i="4"/>
  <c r="I653" i="4"/>
  <c r="K653" i="4" s="1"/>
  <c r="J652" i="4"/>
  <c r="I652" i="4"/>
  <c r="K652" i="4" s="1"/>
  <c r="U650" i="4"/>
  <c r="T650" i="4"/>
  <c r="P650" i="4"/>
  <c r="O650" i="4"/>
  <c r="U649" i="4"/>
  <c r="T649" i="4"/>
  <c r="P649" i="4"/>
  <c r="O649" i="4"/>
  <c r="T648" i="4"/>
  <c r="S648" i="4"/>
  <c r="R648" i="4"/>
  <c r="U648" i="4" s="1"/>
  <c r="Q648" i="4"/>
  <c r="P648" i="4"/>
  <c r="N648" i="4"/>
  <c r="M648" i="4"/>
  <c r="L648" i="4"/>
  <c r="O648" i="4" s="1"/>
  <c r="S647" i="4"/>
  <c r="S644" i="4" s="1"/>
  <c r="R647" i="4"/>
  <c r="Q647" i="4"/>
  <c r="T647" i="4" s="1"/>
  <c r="P647" i="4"/>
  <c r="O647" i="4"/>
  <c r="U646" i="4"/>
  <c r="T646" i="4"/>
  <c r="P646" i="4"/>
  <c r="O646" i="4"/>
  <c r="O645" i="4"/>
  <c r="N645" i="4"/>
  <c r="M645" i="4"/>
  <c r="P645" i="4" s="1"/>
  <c r="L645" i="4"/>
  <c r="O644" i="4"/>
  <c r="N644" i="4"/>
  <c r="M644" i="4"/>
  <c r="P644" i="4" s="1"/>
  <c r="L644" i="4"/>
  <c r="L642" i="4" s="1"/>
  <c r="O642" i="4" s="1"/>
  <c r="U643" i="4"/>
  <c r="S643" i="4"/>
  <c r="R643" i="4"/>
  <c r="Q643" i="4"/>
  <c r="T643" i="4" s="1"/>
  <c r="O643" i="4"/>
  <c r="N643" i="4"/>
  <c r="M643" i="4"/>
  <c r="L643" i="4"/>
  <c r="N642" i="4"/>
  <c r="J636" i="4"/>
  <c r="J635" i="4" s="1"/>
  <c r="I635" i="4"/>
  <c r="K635" i="4" s="1"/>
  <c r="J632" i="4"/>
  <c r="I628" i="4"/>
  <c r="K628" i="4" s="1"/>
  <c r="I627" i="4"/>
  <c r="K627" i="4" s="1"/>
  <c r="J626" i="4"/>
  <c r="I626" i="4"/>
  <c r="I615" i="4" s="1"/>
  <c r="U624" i="4"/>
  <c r="T624" i="4"/>
  <c r="P624" i="4"/>
  <c r="O624" i="4"/>
  <c r="U623" i="4"/>
  <c r="T623" i="4"/>
  <c r="P623" i="4"/>
  <c r="O623" i="4"/>
  <c r="U622" i="4"/>
  <c r="S622" i="4"/>
  <c r="R622" i="4"/>
  <c r="Q622" i="4"/>
  <c r="T622" i="4" s="1"/>
  <c r="O622" i="4"/>
  <c r="N622" i="4"/>
  <c r="M622" i="4"/>
  <c r="P622" i="4" s="1"/>
  <c r="L622" i="4"/>
  <c r="S621" i="4"/>
  <c r="S618" i="4" s="1"/>
  <c r="S616" i="4" s="1"/>
  <c r="R621" i="4"/>
  <c r="R618" i="4" s="1"/>
  <c r="Q621" i="4"/>
  <c r="P621" i="4"/>
  <c r="O621" i="4"/>
  <c r="U620" i="4"/>
  <c r="T620" i="4"/>
  <c r="P620" i="4"/>
  <c r="O620" i="4"/>
  <c r="P619" i="4"/>
  <c r="O619" i="4"/>
  <c r="N619" i="4"/>
  <c r="M619" i="4"/>
  <c r="L619" i="4"/>
  <c r="N618" i="4"/>
  <c r="M618" i="4"/>
  <c r="L618" i="4"/>
  <c r="O618" i="4" s="1"/>
  <c r="T617" i="4"/>
  <c r="S617" i="4"/>
  <c r="R617" i="4"/>
  <c r="U617" i="4" s="1"/>
  <c r="Q617" i="4"/>
  <c r="P617" i="4"/>
  <c r="N617" i="4"/>
  <c r="M617" i="4"/>
  <c r="L617" i="4"/>
  <c r="O617" i="4" s="1"/>
  <c r="J615" i="4"/>
  <c r="S607" i="4"/>
  <c r="S605" i="4" s="1"/>
  <c r="R607" i="4"/>
  <c r="U607" i="4" s="1"/>
  <c r="Q607" i="4"/>
  <c r="N607" i="4"/>
  <c r="N605" i="4" s="1"/>
  <c r="M607" i="4"/>
  <c r="L607" i="4"/>
  <c r="L605" i="4" s="1"/>
  <c r="O605" i="4" s="1"/>
  <c r="U606" i="4"/>
  <c r="T606" i="4"/>
  <c r="P606" i="4"/>
  <c r="O606" i="4"/>
  <c r="S604" i="4"/>
  <c r="R604" i="4"/>
  <c r="Q604" i="4"/>
  <c r="N604" i="4"/>
  <c r="M604" i="4"/>
  <c r="L604" i="4"/>
  <c r="U603" i="4"/>
  <c r="T603" i="4"/>
  <c r="P603" i="4"/>
  <c r="O603" i="4"/>
  <c r="U600" i="4"/>
  <c r="S600" i="4"/>
  <c r="R600" i="4"/>
  <c r="Q600" i="4"/>
  <c r="N600" i="4"/>
  <c r="M600" i="4"/>
  <c r="L600" i="4"/>
  <c r="O600" i="4" s="1"/>
  <c r="U584" i="4"/>
  <c r="T584" i="4"/>
  <c r="N584" i="4"/>
  <c r="N582" i="4" s="1"/>
  <c r="M584" i="4"/>
  <c r="P584" i="4" s="1"/>
  <c r="L584" i="4"/>
  <c r="L582" i="4" s="1"/>
  <c r="O582" i="4" s="1"/>
  <c r="U583" i="4"/>
  <c r="T583" i="4"/>
  <c r="P583" i="4"/>
  <c r="O583" i="4"/>
  <c r="T582" i="4"/>
  <c r="S582" i="4"/>
  <c r="R582" i="4"/>
  <c r="U582" i="4" s="1"/>
  <c r="Q582" i="4"/>
  <c r="U581" i="4"/>
  <c r="T581" i="4"/>
  <c r="N581" i="4"/>
  <c r="M581" i="4"/>
  <c r="P581" i="4" s="1"/>
  <c r="L581" i="4"/>
  <c r="O581" i="4" s="1"/>
  <c r="U580" i="4"/>
  <c r="T580" i="4"/>
  <c r="P580" i="4"/>
  <c r="O580" i="4"/>
  <c r="U579" i="4"/>
  <c r="S579" i="4"/>
  <c r="R579" i="4"/>
  <c r="Q579" i="4"/>
  <c r="T579" i="4" s="1"/>
  <c r="U578" i="4"/>
  <c r="S578" i="4"/>
  <c r="R578" i="4"/>
  <c r="Q578" i="4"/>
  <c r="U577" i="4"/>
  <c r="T577" i="4"/>
  <c r="S577" i="4"/>
  <c r="S576" i="4" s="1"/>
  <c r="R577" i="4"/>
  <c r="Q577" i="4"/>
  <c r="N577" i="4"/>
  <c r="M577" i="4"/>
  <c r="P577" i="4" s="1"/>
  <c r="L577" i="4"/>
  <c r="R576" i="4"/>
  <c r="U576" i="4" s="1"/>
  <c r="K575" i="4"/>
  <c r="J575" i="4"/>
  <c r="I575" i="4"/>
  <c r="U563" i="4"/>
  <c r="T563" i="4"/>
  <c r="N563" i="4"/>
  <c r="N561" i="4" s="1"/>
  <c r="M563" i="4"/>
  <c r="P563" i="4" s="1"/>
  <c r="L563" i="4"/>
  <c r="L561" i="4" s="1"/>
  <c r="O561" i="4" s="1"/>
  <c r="U562" i="4"/>
  <c r="T562" i="4"/>
  <c r="P562" i="4"/>
  <c r="O562" i="4"/>
  <c r="S561" i="4"/>
  <c r="R561" i="4"/>
  <c r="U561" i="4" s="1"/>
  <c r="Q561" i="4"/>
  <c r="T561" i="4" s="1"/>
  <c r="U560" i="4"/>
  <c r="T560" i="4"/>
  <c r="N560" i="4"/>
  <c r="M560" i="4"/>
  <c r="P560" i="4" s="1"/>
  <c r="L560" i="4"/>
  <c r="U559" i="4"/>
  <c r="T559" i="4"/>
  <c r="P559" i="4"/>
  <c r="O559" i="4"/>
  <c r="U558" i="4"/>
  <c r="T558" i="4"/>
  <c r="S558" i="4"/>
  <c r="R558" i="4"/>
  <c r="Q558" i="4"/>
  <c r="S557" i="4"/>
  <c r="R557" i="4"/>
  <c r="U557" i="4" s="1"/>
  <c r="Q557" i="4"/>
  <c r="T557" i="4" s="1"/>
  <c r="U556" i="4"/>
  <c r="T556" i="4"/>
  <c r="S556" i="4"/>
  <c r="R556" i="4"/>
  <c r="Q556" i="4"/>
  <c r="Q555" i="4" s="1"/>
  <c r="T555" i="4" s="1"/>
  <c r="P556" i="4"/>
  <c r="O556" i="4"/>
  <c r="N556" i="4"/>
  <c r="M556" i="4"/>
  <c r="L556" i="4"/>
  <c r="S555" i="4"/>
  <c r="J554" i="4"/>
  <c r="I554" i="4"/>
  <c r="K554" i="4" s="1"/>
  <c r="U542" i="4"/>
  <c r="T542" i="4"/>
  <c r="N542" i="4"/>
  <c r="N540" i="4" s="1"/>
  <c r="M542" i="4"/>
  <c r="M540" i="4" s="1"/>
  <c r="P540" i="4" s="1"/>
  <c r="L542" i="4"/>
  <c r="L540" i="4" s="1"/>
  <c r="O540" i="4" s="1"/>
  <c r="U541" i="4"/>
  <c r="T541" i="4"/>
  <c r="P541" i="4"/>
  <c r="O541" i="4"/>
  <c r="U540" i="4"/>
  <c r="T540" i="4"/>
  <c r="S540" i="4"/>
  <c r="R540" i="4"/>
  <c r="Q540" i="4"/>
  <c r="U539" i="4"/>
  <c r="T539" i="4"/>
  <c r="N539" i="4"/>
  <c r="N537" i="4" s="1"/>
  <c r="M539" i="4"/>
  <c r="L539" i="4"/>
  <c r="O539" i="4" s="1"/>
  <c r="U538" i="4"/>
  <c r="T538" i="4"/>
  <c r="P538" i="4"/>
  <c r="O538" i="4"/>
  <c r="U537" i="4"/>
  <c r="S537" i="4"/>
  <c r="R537" i="4"/>
  <c r="Q537" i="4"/>
  <c r="T537" i="4" s="1"/>
  <c r="U536" i="4"/>
  <c r="T536" i="4"/>
  <c r="S536" i="4"/>
  <c r="R536" i="4"/>
  <c r="Q536" i="4"/>
  <c r="T535" i="4"/>
  <c r="S535" i="4"/>
  <c r="S534" i="4" s="1"/>
  <c r="R535" i="4"/>
  <c r="Q535" i="4"/>
  <c r="O535" i="4"/>
  <c r="N535" i="4"/>
  <c r="M535" i="4"/>
  <c r="P535" i="4" s="1"/>
  <c r="L535" i="4"/>
  <c r="K533" i="4"/>
  <c r="J533" i="4"/>
  <c r="I533" i="4"/>
  <c r="K524" i="4"/>
  <c r="K523" i="4"/>
  <c r="U521" i="4"/>
  <c r="T521" i="4"/>
  <c r="N521" i="4"/>
  <c r="N519" i="4" s="1"/>
  <c r="M521" i="4"/>
  <c r="P521" i="4" s="1"/>
  <c r="L521" i="4"/>
  <c r="U520" i="4"/>
  <c r="T520" i="4"/>
  <c r="P520" i="4"/>
  <c r="O520" i="4"/>
  <c r="U519" i="4"/>
  <c r="S519" i="4"/>
  <c r="R519" i="4"/>
  <c r="Q519" i="4"/>
  <c r="T519" i="4" s="1"/>
  <c r="U518" i="4"/>
  <c r="T518" i="4"/>
  <c r="N518" i="4"/>
  <c r="M518" i="4"/>
  <c r="L518" i="4"/>
  <c r="O518" i="4" s="1"/>
  <c r="U517" i="4"/>
  <c r="T517" i="4"/>
  <c r="P517" i="4"/>
  <c r="O517" i="4"/>
  <c r="U516" i="4"/>
  <c r="S516" i="4"/>
  <c r="R516" i="4"/>
  <c r="Q516" i="4"/>
  <c r="T516" i="4" s="1"/>
  <c r="T515" i="4"/>
  <c r="S515" i="4"/>
  <c r="R515" i="4"/>
  <c r="U515" i="4" s="1"/>
  <c r="Q515" i="4"/>
  <c r="S514" i="4"/>
  <c r="S513" i="4" s="1"/>
  <c r="R514" i="4"/>
  <c r="U514" i="4" s="1"/>
  <c r="Q514" i="4"/>
  <c r="T514" i="4" s="1"/>
  <c r="P514" i="4"/>
  <c r="N514" i="4"/>
  <c r="M514" i="4"/>
  <c r="L514" i="4"/>
  <c r="O514" i="4" s="1"/>
  <c r="R513" i="4"/>
  <c r="U513" i="4" s="1"/>
  <c r="K512" i="4"/>
  <c r="J512" i="4"/>
  <c r="I512" i="4"/>
  <c r="I509" i="4"/>
  <c r="K509" i="4" s="1"/>
  <c r="K508" i="4"/>
  <c r="I507" i="4"/>
  <c r="K507" i="4" s="1"/>
  <c r="I506" i="4"/>
  <c r="K506" i="4" s="1"/>
  <c r="I505" i="4"/>
  <c r="K505" i="4" s="1"/>
  <c r="I504" i="4"/>
  <c r="I503" i="4"/>
  <c r="K503" i="4" s="1"/>
  <c r="U501" i="4"/>
  <c r="T501" i="4"/>
  <c r="N501" i="4"/>
  <c r="N499" i="4" s="1"/>
  <c r="M501" i="4"/>
  <c r="P501" i="4" s="1"/>
  <c r="L501" i="4"/>
  <c r="O501" i="4" s="1"/>
  <c r="U500" i="4"/>
  <c r="T500" i="4"/>
  <c r="P500" i="4"/>
  <c r="O500" i="4"/>
  <c r="T499" i="4"/>
  <c r="S499" i="4"/>
  <c r="R499" i="4"/>
  <c r="U499" i="4" s="1"/>
  <c r="Q499" i="4"/>
  <c r="S498" i="4"/>
  <c r="S496" i="4" s="1"/>
  <c r="R498" i="4"/>
  <c r="U498" i="4" s="1"/>
  <c r="Q498" i="4"/>
  <c r="N498" i="4"/>
  <c r="N496" i="4" s="1"/>
  <c r="M498" i="4"/>
  <c r="L498" i="4"/>
  <c r="L496" i="4" s="1"/>
  <c r="O496" i="4" s="1"/>
  <c r="U497" i="4"/>
  <c r="T497" i="4"/>
  <c r="P497" i="4"/>
  <c r="O497" i="4"/>
  <c r="U494" i="4"/>
  <c r="T494" i="4"/>
  <c r="S494" i="4"/>
  <c r="R494" i="4"/>
  <c r="Q494" i="4"/>
  <c r="P494" i="4"/>
  <c r="O494" i="4"/>
  <c r="N494" i="4"/>
  <c r="M494" i="4"/>
  <c r="L494" i="4"/>
  <c r="J485" i="4"/>
  <c r="I485" i="4"/>
  <c r="J484" i="4"/>
  <c r="I484" i="4"/>
  <c r="K484" i="4" s="1"/>
  <c r="K477" i="4"/>
  <c r="J477" i="4"/>
  <c r="K476" i="4"/>
  <c r="J476" i="4"/>
  <c r="K475" i="4"/>
  <c r="J475" i="4"/>
  <c r="J468" i="4"/>
  <c r="J467" i="4"/>
  <c r="J460" i="4"/>
  <c r="J458" i="4" s="1"/>
  <c r="J459" i="4"/>
  <c r="J457" i="4" s="1"/>
  <c r="I458" i="4"/>
  <c r="K458" i="4" s="1"/>
  <c r="I457" i="4"/>
  <c r="I456" i="4" s="1"/>
  <c r="J447" i="4"/>
  <c r="J441" i="4" s="1"/>
  <c r="J446" i="4"/>
  <c r="J440" i="4" s="1"/>
  <c r="I441" i="4"/>
  <c r="K441" i="4" s="1"/>
  <c r="I440" i="4"/>
  <c r="J433" i="4"/>
  <c r="I433" i="4"/>
  <c r="J432" i="4"/>
  <c r="J423" i="4" s="1"/>
  <c r="J412" i="4" s="1"/>
  <c r="I432" i="4"/>
  <c r="J425" i="4"/>
  <c r="I425" i="4"/>
  <c r="K425" i="4" s="1"/>
  <c r="J424" i="4"/>
  <c r="I424" i="4"/>
  <c r="K424" i="4" s="1"/>
  <c r="U421" i="4"/>
  <c r="T421" i="4"/>
  <c r="N421" i="4"/>
  <c r="N419" i="4" s="1"/>
  <c r="M421" i="4"/>
  <c r="P421" i="4" s="1"/>
  <c r="L421" i="4"/>
  <c r="L419" i="4" s="1"/>
  <c r="O419" i="4" s="1"/>
  <c r="U420" i="4"/>
  <c r="T420" i="4"/>
  <c r="P420" i="4"/>
  <c r="O420" i="4"/>
  <c r="T419" i="4"/>
  <c r="S419" i="4"/>
  <c r="R419" i="4"/>
  <c r="U419" i="4" s="1"/>
  <c r="Q419" i="4"/>
  <c r="S418" i="4"/>
  <c r="S416" i="4" s="1"/>
  <c r="R418" i="4"/>
  <c r="R416" i="4" s="1"/>
  <c r="Q418" i="4"/>
  <c r="Q416" i="4" s="1"/>
  <c r="N418" i="4"/>
  <c r="M418" i="4"/>
  <c r="M416" i="4" s="1"/>
  <c r="L418" i="4"/>
  <c r="L416" i="4" s="1"/>
  <c r="U417" i="4"/>
  <c r="T417" i="4"/>
  <c r="P417" i="4"/>
  <c r="O417" i="4"/>
  <c r="S414" i="4"/>
  <c r="R414" i="4"/>
  <c r="Q414" i="4"/>
  <c r="T414" i="4" s="1"/>
  <c r="P414" i="4"/>
  <c r="O414" i="4"/>
  <c r="N414" i="4"/>
  <c r="M414" i="4"/>
  <c r="L414" i="4"/>
  <c r="U400" i="4"/>
  <c r="T400" i="4"/>
  <c r="P400" i="4"/>
  <c r="O400" i="4"/>
  <c r="U399" i="4"/>
  <c r="T399" i="4"/>
  <c r="P399" i="4"/>
  <c r="O399" i="4"/>
  <c r="T398" i="4"/>
  <c r="S398" i="4"/>
  <c r="R398" i="4"/>
  <c r="U398" i="4" s="1"/>
  <c r="Q398" i="4"/>
  <c r="N398" i="4"/>
  <c r="M398" i="4"/>
  <c r="P398" i="4" s="1"/>
  <c r="L398" i="4"/>
  <c r="O398" i="4" s="1"/>
  <c r="S397" i="4"/>
  <c r="S395" i="4" s="1"/>
  <c r="R397" i="4"/>
  <c r="R395" i="4" s="1"/>
  <c r="U395" i="4" s="1"/>
  <c r="Q397" i="4"/>
  <c r="Q394" i="4" s="1"/>
  <c r="P397" i="4"/>
  <c r="O397" i="4"/>
  <c r="U396" i="4"/>
  <c r="T396" i="4"/>
  <c r="P396" i="4"/>
  <c r="O396" i="4"/>
  <c r="O395" i="4"/>
  <c r="N395" i="4"/>
  <c r="M395" i="4"/>
  <c r="P395" i="4" s="1"/>
  <c r="L395" i="4"/>
  <c r="N394" i="4"/>
  <c r="M394" i="4"/>
  <c r="P394" i="4" s="1"/>
  <c r="L394" i="4"/>
  <c r="O394" i="4" s="1"/>
  <c r="U393" i="4"/>
  <c r="S393" i="4"/>
  <c r="R393" i="4"/>
  <c r="Q393" i="4"/>
  <c r="T393" i="4" s="1"/>
  <c r="O393" i="4"/>
  <c r="N393" i="4"/>
  <c r="M393" i="4"/>
  <c r="L393" i="4"/>
  <c r="N392" i="4"/>
  <c r="J391" i="4"/>
  <c r="I391" i="4"/>
  <c r="K391" i="4" s="1"/>
  <c r="J388" i="4"/>
  <c r="I388" i="4"/>
  <c r="K388" i="4" s="1"/>
  <c r="K387" i="4"/>
  <c r="J387" i="4"/>
  <c r="J386" i="4"/>
  <c r="I386" i="4"/>
  <c r="K385" i="4"/>
  <c r="J385" i="4"/>
  <c r="U383" i="4"/>
  <c r="T383" i="4"/>
  <c r="N383" i="4"/>
  <c r="N381" i="4" s="1"/>
  <c r="M383" i="4"/>
  <c r="P383" i="4" s="1"/>
  <c r="L383" i="4"/>
  <c r="O383" i="4" s="1"/>
  <c r="U382" i="4"/>
  <c r="T382" i="4"/>
  <c r="P382" i="4"/>
  <c r="O382" i="4"/>
  <c r="U381" i="4"/>
  <c r="S381" i="4"/>
  <c r="R381" i="4"/>
  <c r="Q381" i="4"/>
  <c r="T381" i="4" s="1"/>
  <c r="S380" i="4"/>
  <c r="R380" i="4"/>
  <c r="R378" i="4" s="1"/>
  <c r="Q380" i="4"/>
  <c r="Q378" i="4" s="1"/>
  <c r="N380" i="4"/>
  <c r="N378" i="4" s="1"/>
  <c r="M380" i="4"/>
  <c r="L380" i="4"/>
  <c r="L378" i="4" s="1"/>
  <c r="O378" i="4" s="1"/>
  <c r="U379" i="4"/>
  <c r="T379" i="4"/>
  <c r="P379" i="4"/>
  <c r="O379" i="4"/>
  <c r="U376" i="4"/>
  <c r="S376" i="4"/>
  <c r="R376" i="4"/>
  <c r="Q376" i="4"/>
  <c r="T376" i="4" s="1"/>
  <c r="O376" i="4"/>
  <c r="N376" i="4"/>
  <c r="M376" i="4"/>
  <c r="L376" i="4"/>
  <c r="D373" i="4"/>
  <c r="K372" i="4"/>
  <c r="J372" i="4"/>
  <c r="J371" i="4"/>
  <c r="J365" i="4" s="1"/>
  <c r="I371" i="4"/>
  <c r="I365" i="4" s="1"/>
  <c r="K370" i="4"/>
  <c r="J370" i="4"/>
  <c r="J369" i="4"/>
  <c r="I369" i="4"/>
  <c r="J368" i="4"/>
  <c r="I368" i="4"/>
  <c r="K367" i="4"/>
  <c r="J367" i="4"/>
  <c r="U364" i="4"/>
  <c r="T364" i="4"/>
  <c r="N364" i="4"/>
  <c r="N362" i="4" s="1"/>
  <c r="M364" i="4"/>
  <c r="P364" i="4" s="1"/>
  <c r="L364" i="4"/>
  <c r="L362" i="4" s="1"/>
  <c r="O362" i="4" s="1"/>
  <c r="U363" i="4"/>
  <c r="T363" i="4"/>
  <c r="P363" i="4"/>
  <c r="O363" i="4"/>
  <c r="T362" i="4"/>
  <c r="S362" i="4"/>
  <c r="R362" i="4"/>
  <c r="U362" i="4" s="1"/>
  <c r="Q362" i="4"/>
  <c r="U361" i="4"/>
  <c r="T361" i="4"/>
  <c r="N361" i="4"/>
  <c r="M361" i="4"/>
  <c r="L361" i="4"/>
  <c r="L359" i="4" s="1"/>
  <c r="U360" i="4"/>
  <c r="T360" i="4"/>
  <c r="P360" i="4"/>
  <c r="O360" i="4"/>
  <c r="S359" i="4"/>
  <c r="R359" i="4"/>
  <c r="U359" i="4" s="1"/>
  <c r="Q359" i="4"/>
  <c r="T359" i="4" s="1"/>
  <c r="U358" i="4"/>
  <c r="S358" i="4"/>
  <c r="S356" i="4" s="1"/>
  <c r="R358" i="4"/>
  <c r="Q358" i="4"/>
  <c r="T358" i="4" s="1"/>
  <c r="T357" i="4"/>
  <c r="S357" i="4"/>
  <c r="R357" i="4"/>
  <c r="U357" i="4" s="1"/>
  <c r="Q357" i="4"/>
  <c r="O357" i="4"/>
  <c r="N357" i="4"/>
  <c r="M357" i="4"/>
  <c r="P357" i="4" s="1"/>
  <c r="L357" i="4"/>
  <c r="Q356" i="4"/>
  <c r="T356" i="4" s="1"/>
  <c r="J354" i="4"/>
  <c r="J353" i="4"/>
  <c r="J352" i="4"/>
  <c r="D350" i="4"/>
  <c r="J349" i="4"/>
  <c r="J348" i="4"/>
  <c r="J347" i="4"/>
  <c r="J346" i="4"/>
  <c r="I346" i="4"/>
  <c r="K344" i="4"/>
  <c r="J344" i="4"/>
  <c r="U341" i="4"/>
  <c r="T341" i="4"/>
  <c r="N341" i="4"/>
  <c r="M341" i="4"/>
  <c r="L341" i="4"/>
  <c r="U340" i="4"/>
  <c r="T340" i="4"/>
  <c r="P340" i="4"/>
  <c r="O340" i="4"/>
  <c r="U339" i="4"/>
  <c r="S339" i="4"/>
  <c r="R339" i="4"/>
  <c r="Q339" i="4"/>
  <c r="T339" i="4" s="1"/>
  <c r="U338" i="4"/>
  <c r="T338" i="4"/>
  <c r="N338" i="4"/>
  <c r="N336" i="4" s="1"/>
  <c r="M338" i="4"/>
  <c r="L338" i="4"/>
  <c r="L336" i="4" s="1"/>
  <c r="U337" i="4"/>
  <c r="T337" i="4"/>
  <c r="P337" i="4"/>
  <c r="O337" i="4"/>
  <c r="U336" i="4"/>
  <c r="S336" i="4"/>
  <c r="R336" i="4"/>
  <c r="Q336" i="4"/>
  <c r="T336" i="4" s="1"/>
  <c r="S335" i="4"/>
  <c r="S333" i="4" s="1"/>
  <c r="R335" i="4"/>
  <c r="U335" i="4" s="1"/>
  <c r="Q335" i="4"/>
  <c r="T335" i="4" s="1"/>
  <c r="U334" i="4"/>
  <c r="T334" i="4"/>
  <c r="S334" i="4"/>
  <c r="R334" i="4"/>
  <c r="Q334" i="4"/>
  <c r="Q333" i="4" s="1"/>
  <c r="P334" i="4"/>
  <c r="O334" i="4"/>
  <c r="N334" i="4"/>
  <c r="M334" i="4"/>
  <c r="L334" i="4"/>
  <c r="T333" i="4"/>
  <c r="I332" i="4"/>
  <c r="I330" i="4"/>
  <c r="U328" i="4"/>
  <c r="T328" i="4"/>
  <c r="N328" i="4"/>
  <c r="N326" i="4" s="1"/>
  <c r="M328" i="4"/>
  <c r="P328" i="4" s="1"/>
  <c r="L328" i="4"/>
  <c r="L326" i="4" s="1"/>
  <c r="O326" i="4" s="1"/>
  <c r="U327" i="4"/>
  <c r="T327" i="4"/>
  <c r="P327" i="4"/>
  <c r="O327" i="4"/>
  <c r="T326" i="4"/>
  <c r="S326" i="4"/>
  <c r="R326" i="4"/>
  <c r="U326" i="4" s="1"/>
  <c r="Q326" i="4"/>
  <c r="U325" i="4"/>
  <c r="T325" i="4"/>
  <c r="N325" i="4"/>
  <c r="N323" i="4" s="1"/>
  <c r="M325" i="4"/>
  <c r="P325" i="4" s="1"/>
  <c r="L325" i="4"/>
  <c r="O325" i="4" s="1"/>
  <c r="U324" i="4"/>
  <c r="T324" i="4"/>
  <c r="P324" i="4"/>
  <c r="O324" i="4"/>
  <c r="U323" i="4"/>
  <c r="S323" i="4"/>
  <c r="R323" i="4"/>
  <c r="Q323" i="4"/>
  <c r="T323" i="4" s="1"/>
  <c r="U322" i="4"/>
  <c r="S322" i="4"/>
  <c r="S320" i="4" s="1"/>
  <c r="R322" i="4"/>
  <c r="Q322" i="4"/>
  <c r="T322" i="4" s="1"/>
  <c r="U321" i="4"/>
  <c r="S321" i="4"/>
  <c r="R321" i="4"/>
  <c r="R320" i="4" s="1"/>
  <c r="Q321" i="4"/>
  <c r="T321" i="4" s="1"/>
  <c r="O321" i="4"/>
  <c r="N321" i="4"/>
  <c r="M321" i="4"/>
  <c r="L321" i="4"/>
  <c r="U320" i="4"/>
  <c r="Q320" i="4"/>
  <c r="T320" i="4" s="1"/>
  <c r="J319" i="4"/>
  <c r="I314" i="4"/>
  <c r="K314" i="4" s="1"/>
  <c r="U311" i="4"/>
  <c r="T311" i="4"/>
  <c r="N311" i="4"/>
  <c r="M311" i="4"/>
  <c r="M309" i="4" s="1"/>
  <c r="P309" i="4" s="1"/>
  <c r="L311" i="4"/>
  <c r="O311" i="4" s="1"/>
  <c r="U310" i="4"/>
  <c r="T310" i="4"/>
  <c r="P310" i="4"/>
  <c r="O310" i="4"/>
  <c r="S309" i="4"/>
  <c r="R309" i="4"/>
  <c r="U309" i="4" s="1"/>
  <c r="Q309" i="4"/>
  <c r="T309" i="4" s="1"/>
  <c r="S308" i="4"/>
  <c r="R308" i="4"/>
  <c r="R305" i="4" s="1"/>
  <c r="R303" i="4" s="1"/>
  <c r="Q308" i="4"/>
  <c r="Q306" i="4" s="1"/>
  <c r="N308" i="4"/>
  <c r="N306" i="4" s="1"/>
  <c r="M308" i="4"/>
  <c r="P308" i="4" s="1"/>
  <c r="L308" i="4"/>
  <c r="U307" i="4"/>
  <c r="T307" i="4"/>
  <c r="P307" i="4"/>
  <c r="O307" i="4"/>
  <c r="U304" i="4"/>
  <c r="T304" i="4"/>
  <c r="S304" i="4"/>
  <c r="R304" i="4"/>
  <c r="Q304" i="4"/>
  <c r="O304" i="4"/>
  <c r="N304" i="4"/>
  <c r="M304" i="4"/>
  <c r="P304" i="4" s="1"/>
  <c r="L304" i="4"/>
  <c r="J302" i="4"/>
  <c r="I296" i="4"/>
  <c r="K296" i="4" s="1"/>
  <c r="I295" i="4"/>
  <c r="K295" i="4" s="1"/>
  <c r="J293" i="4"/>
  <c r="I293" i="4"/>
  <c r="K293" i="4" s="1"/>
  <c r="I292" i="4"/>
  <c r="K292" i="4" s="1"/>
  <c r="U290" i="4"/>
  <c r="T290" i="4"/>
  <c r="N290" i="4"/>
  <c r="M290" i="4"/>
  <c r="M288" i="4" s="1"/>
  <c r="P288" i="4" s="1"/>
  <c r="L290" i="4"/>
  <c r="L288" i="4" s="1"/>
  <c r="O288" i="4" s="1"/>
  <c r="U289" i="4"/>
  <c r="T289" i="4"/>
  <c r="P289" i="4"/>
  <c r="O289" i="4"/>
  <c r="T288" i="4"/>
  <c r="S288" i="4"/>
  <c r="R288" i="4"/>
  <c r="U288" i="4" s="1"/>
  <c r="Q288" i="4"/>
  <c r="U287" i="4"/>
  <c r="T287" i="4"/>
  <c r="N287" i="4"/>
  <c r="N285" i="4" s="1"/>
  <c r="M287" i="4"/>
  <c r="P287" i="4" s="1"/>
  <c r="L287" i="4"/>
  <c r="O287" i="4" s="1"/>
  <c r="U286" i="4"/>
  <c r="T286" i="4"/>
  <c r="P286" i="4"/>
  <c r="O286" i="4"/>
  <c r="U285" i="4"/>
  <c r="S285" i="4"/>
  <c r="R285" i="4"/>
  <c r="Q285" i="4"/>
  <c r="T285" i="4" s="1"/>
  <c r="U284" i="4"/>
  <c r="S284" i="4"/>
  <c r="R284" i="4"/>
  <c r="Q284" i="4"/>
  <c r="T284" i="4" s="1"/>
  <c r="U283" i="4"/>
  <c r="S283" i="4"/>
  <c r="R283" i="4"/>
  <c r="Q283" i="4"/>
  <c r="T283" i="4" s="1"/>
  <c r="O283" i="4"/>
  <c r="N283" i="4"/>
  <c r="M283" i="4"/>
  <c r="P283" i="4" s="1"/>
  <c r="L283" i="4"/>
  <c r="U282" i="4"/>
  <c r="R282" i="4"/>
  <c r="Q282" i="4"/>
  <c r="T282" i="4" s="1"/>
  <c r="J281" i="4"/>
  <c r="J280" i="4"/>
  <c r="I276" i="4"/>
  <c r="K276" i="4" s="1"/>
  <c r="U274" i="4"/>
  <c r="T274" i="4"/>
  <c r="N274" i="4"/>
  <c r="N272" i="4" s="1"/>
  <c r="M274" i="4"/>
  <c r="P274" i="4" s="1"/>
  <c r="L274" i="4"/>
  <c r="O274" i="4" s="1"/>
  <c r="U273" i="4"/>
  <c r="T273" i="4"/>
  <c r="P273" i="4"/>
  <c r="O273" i="4"/>
  <c r="T272" i="4"/>
  <c r="S272" i="4"/>
  <c r="R272" i="4"/>
  <c r="U272" i="4" s="1"/>
  <c r="Q272" i="4"/>
  <c r="S271" i="4"/>
  <c r="S268" i="4" s="1"/>
  <c r="R271" i="4"/>
  <c r="R268" i="4" s="1"/>
  <c r="R266" i="4" s="1"/>
  <c r="Q271" i="4"/>
  <c r="Q269" i="4" s="1"/>
  <c r="N271" i="4"/>
  <c r="M271" i="4"/>
  <c r="M269" i="4" s="1"/>
  <c r="L271" i="4"/>
  <c r="L269" i="4" s="1"/>
  <c r="U270" i="4"/>
  <c r="T270" i="4"/>
  <c r="P270" i="4"/>
  <c r="O270" i="4"/>
  <c r="T267" i="4"/>
  <c r="S267" i="4"/>
  <c r="R267" i="4"/>
  <c r="U267" i="4" s="1"/>
  <c r="Q267" i="4"/>
  <c r="P267" i="4"/>
  <c r="N267" i="4"/>
  <c r="M267" i="4"/>
  <c r="L267" i="4"/>
  <c r="O267" i="4" s="1"/>
  <c r="J265" i="4"/>
  <c r="K263" i="4"/>
  <c r="K262" i="4"/>
  <c r="I260" i="4"/>
  <c r="L258" i="4"/>
  <c r="L257" i="4"/>
  <c r="L256" i="4"/>
  <c r="L255" i="4"/>
  <c r="P254" i="4"/>
  <c r="N254" i="4"/>
  <c r="J253" i="4"/>
  <c r="K252" i="4"/>
  <c r="K251" i="4"/>
  <c r="I249" i="4"/>
  <c r="K249" i="4" s="1"/>
  <c r="L247" i="4"/>
  <c r="L246" i="4"/>
  <c r="L245" i="4"/>
  <c r="L244" i="4"/>
  <c r="P243" i="4"/>
  <c r="N243" i="4"/>
  <c r="N232" i="4" s="1"/>
  <c r="J242" i="4"/>
  <c r="J231" i="4" s="1"/>
  <c r="J185" i="4" s="1"/>
  <c r="K241" i="4"/>
  <c r="J241" i="4"/>
  <c r="I241" i="4"/>
  <c r="J240" i="4"/>
  <c r="I240" i="4"/>
  <c r="K240" i="4" s="1"/>
  <c r="J238" i="4"/>
  <c r="N236" i="4"/>
  <c r="N235" i="4"/>
  <c r="N234" i="4"/>
  <c r="N233" i="4"/>
  <c r="I230" i="4"/>
  <c r="K230" i="4" s="1"/>
  <c r="I229" i="4"/>
  <c r="K229" i="4" s="1"/>
  <c r="I228" i="4"/>
  <c r="K228" i="4" s="1"/>
  <c r="L225" i="4"/>
  <c r="L224" i="4"/>
  <c r="L223" i="4"/>
  <c r="P222" i="4"/>
  <c r="N222" i="4"/>
  <c r="J221" i="4"/>
  <c r="I220" i="4"/>
  <c r="I219" i="4"/>
  <c r="K219" i="4" s="1"/>
  <c r="Q217" i="4"/>
  <c r="Q214" i="4" s="1"/>
  <c r="T214" i="4" s="1"/>
  <c r="L217" i="4"/>
  <c r="L216" i="4"/>
  <c r="L215" i="4"/>
  <c r="U214" i="4"/>
  <c r="S214" i="4"/>
  <c r="P214" i="4"/>
  <c r="N214" i="4"/>
  <c r="J213" i="4"/>
  <c r="I212" i="4"/>
  <c r="K212" i="4" s="1"/>
  <c r="I211" i="4"/>
  <c r="K211" i="4" s="1"/>
  <c r="I209" i="4"/>
  <c r="K209" i="4" s="1"/>
  <c r="L207" i="4"/>
  <c r="Q206" i="4"/>
  <c r="Q203" i="4" s="1"/>
  <c r="L206" i="4"/>
  <c r="L205" i="4"/>
  <c r="L204" i="4"/>
  <c r="U203" i="4"/>
  <c r="S203" i="4"/>
  <c r="P203" i="4"/>
  <c r="N203" i="4"/>
  <c r="J202" i="4"/>
  <c r="J199" i="4"/>
  <c r="I198" i="4"/>
  <c r="I195" i="4" s="1"/>
  <c r="P196" i="4"/>
  <c r="L196" i="4"/>
  <c r="O196" i="4" s="1"/>
  <c r="J195" i="4"/>
  <c r="S194" i="4"/>
  <c r="S192" i="4" s="1"/>
  <c r="R194" i="4"/>
  <c r="R192" i="4" s="1"/>
  <c r="U192" i="4" s="1"/>
  <c r="Q194" i="4"/>
  <c r="T194" i="4" s="1"/>
  <c r="N194" i="4"/>
  <c r="N192" i="4" s="1"/>
  <c r="M194" i="4"/>
  <c r="M192" i="4" s="1"/>
  <c r="P192" i="4" s="1"/>
  <c r="L194" i="4"/>
  <c r="U193" i="4"/>
  <c r="T193" i="4"/>
  <c r="P193" i="4"/>
  <c r="O193" i="4"/>
  <c r="S191" i="4"/>
  <c r="S189" i="4" s="1"/>
  <c r="R191" i="4"/>
  <c r="R189" i="4" s="1"/>
  <c r="Q191" i="4"/>
  <c r="N191" i="4"/>
  <c r="M191" i="4"/>
  <c r="M189" i="4" s="1"/>
  <c r="L191" i="4"/>
  <c r="L189" i="4" s="1"/>
  <c r="U190" i="4"/>
  <c r="T190" i="4"/>
  <c r="P190" i="4"/>
  <c r="O190" i="4"/>
  <c r="U187" i="4"/>
  <c r="S187" i="4"/>
  <c r="R187" i="4"/>
  <c r="Q187" i="4"/>
  <c r="T187" i="4" s="1"/>
  <c r="O187" i="4"/>
  <c r="N187" i="4"/>
  <c r="M187" i="4"/>
  <c r="L187" i="4"/>
  <c r="K184" i="4"/>
  <c r="I183" i="4"/>
  <c r="U181" i="4"/>
  <c r="T181" i="4"/>
  <c r="N181" i="4"/>
  <c r="N179" i="4" s="1"/>
  <c r="M181" i="4"/>
  <c r="P181" i="4" s="1"/>
  <c r="L181" i="4"/>
  <c r="U180" i="4"/>
  <c r="T180" i="4"/>
  <c r="P180" i="4"/>
  <c r="O180" i="4"/>
  <c r="T179" i="4"/>
  <c r="S179" i="4"/>
  <c r="R179" i="4"/>
  <c r="U179" i="4" s="1"/>
  <c r="Q179" i="4"/>
  <c r="S178" i="4"/>
  <c r="S175" i="4" s="1"/>
  <c r="R178" i="4"/>
  <c r="Q178" i="4"/>
  <c r="N178" i="4"/>
  <c r="M178" i="4"/>
  <c r="M176" i="4" s="1"/>
  <c r="L178" i="4"/>
  <c r="U177" i="4"/>
  <c r="T177" i="4"/>
  <c r="P177" i="4"/>
  <c r="O177" i="4"/>
  <c r="T174" i="4"/>
  <c r="S174" i="4"/>
  <c r="R174" i="4"/>
  <c r="U174" i="4" s="1"/>
  <c r="Q174" i="4"/>
  <c r="P174" i="4"/>
  <c r="N174" i="4"/>
  <c r="M174" i="4"/>
  <c r="L174" i="4"/>
  <c r="O174" i="4" s="1"/>
  <c r="J172" i="4"/>
  <c r="I169" i="4"/>
  <c r="I156" i="4" s="1"/>
  <c r="K156" i="4" s="1"/>
  <c r="I168" i="4"/>
  <c r="K168" i="4" s="1"/>
  <c r="I167" i="4"/>
  <c r="K167" i="4" s="1"/>
  <c r="U165" i="4"/>
  <c r="T165" i="4"/>
  <c r="N165" i="4"/>
  <c r="N163" i="4" s="1"/>
  <c r="M165" i="4"/>
  <c r="P165" i="4" s="1"/>
  <c r="L165" i="4"/>
  <c r="U164" i="4"/>
  <c r="T164" i="4"/>
  <c r="P164" i="4"/>
  <c r="O164" i="4"/>
  <c r="T163" i="4"/>
  <c r="S163" i="4"/>
  <c r="R163" i="4"/>
  <c r="U163" i="4" s="1"/>
  <c r="Q163" i="4"/>
  <c r="S162" i="4"/>
  <c r="S160" i="4" s="1"/>
  <c r="R162" i="4"/>
  <c r="R159" i="4" s="1"/>
  <c r="Q162" i="4"/>
  <c r="Q160" i="4" s="1"/>
  <c r="T160" i="4" s="1"/>
  <c r="N162" i="4"/>
  <c r="N160" i="4" s="1"/>
  <c r="M162" i="4"/>
  <c r="L162" i="4"/>
  <c r="U161" i="4"/>
  <c r="T161" i="4"/>
  <c r="P161" i="4"/>
  <c r="O161" i="4"/>
  <c r="T158" i="4"/>
  <c r="S158" i="4"/>
  <c r="R158" i="4"/>
  <c r="U158" i="4" s="1"/>
  <c r="Q158" i="4"/>
  <c r="P158" i="4"/>
  <c r="N158" i="4"/>
  <c r="M158" i="4"/>
  <c r="L158" i="4"/>
  <c r="O158" i="4" s="1"/>
  <c r="J156" i="4"/>
  <c r="I154" i="4"/>
  <c r="K154" i="4" s="1"/>
  <c r="I153" i="4"/>
  <c r="K153" i="4" s="1"/>
  <c r="I152" i="4"/>
  <c r="K152" i="4" s="1"/>
  <c r="I151" i="4"/>
  <c r="K151" i="4" s="1"/>
  <c r="I150" i="4"/>
  <c r="K150" i="4" s="1"/>
  <c r="S147" i="4"/>
  <c r="R147" i="4"/>
  <c r="R145" i="4" s="1"/>
  <c r="Q147" i="4"/>
  <c r="Q145" i="4" s="1"/>
  <c r="N147" i="4"/>
  <c r="N145" i="4" s="1"/>
  <c r="M147" i="4"/>
  <c r="L147" i="4"/>
  <c r="O147" i="4" s="1"/>
  <c r="U146" i="4"/>
  <c r="T146" i="4"/>
  <c r="P146" i="4"/>
  <c r="O146" i="4"/>
  <c r="S144" i="4"/>
  <c r="R144" i="4"/>
  <c r="Q144" i="4"/>
  <c r="N144" i="4"/>
  <c r="M144" i="4"/>
  <c r="L144" i="4"/>
  <c r="U143" i="4"/>
  <c r="T143" i="4"/>
  <c r="P143" i="4"/>
  <c r="O143" i="4"/>
  <c r="U140" i="4"/>
  <c r="S140" i="4"/>
  <c r="R140" i="4"/>
  <c r="Q140" i="4"/>
  <c r="O140" i="4"/>
  <c r="N140" i="4"/>
  <c r="M140" i="4"/>
  <c r="P140" i="4" s="1"/>
  <c r="L140" i="4"/>
  <c r="J138" i="4"/>
  <c r="J137" i="4"/>
  <c r="J136" i="4"/>
  <c r="I130" i="4"/>
  <c r="K130" i="4" s="1"/>
  <c r="I129" i="4"/>
  <c r="K129" i="4" s="1"/>
  <c r="I128" i="4"/>
  <c r="K128" i="4" s="1"/>
  <c r="I127" i="4"/>
  <c r="K127" i="4" s="1"/>
  <c r="S125" i="4"/>
  <c r="S123" i="4" s="1"/>
  <c r="R125" i="4"/>
  <c r="Q125" i="4"/>
  <c r="T125" i="4" s="1"/>
  <c r="N125" i="4"/>
  <c r="N123" i="4" s="1"/>
  <c r="M125" i="4"/>
  <c r="P125" i="4" s="1"/>
  <c r="L125" i="4"/>
  <c r="U124" i="4"/>
  <c r="T124" i="4"/>
  <c r="P124" i="4"/>
  <c r="O124" i="4"/>
  <c r="S122" i="4"/>
  <c r="S120" i="4" s="1"/>
  <c r="R122" i="4"/>
  <c r="Q122" i="4"/>
  <c r="N122" i="4"/>
  <c r="N120" i="4" s="1"/>
  <c r="M122" i="4"/>
  <c r="P122" i="4" s="1"/>
  <c r="L122" i="4"/>
  <c r="U121" i="4"/>
  <c r="T121" i="4"/>
  <c r="P121" i="4"/>
  <c r="O121" i="4"/>
  <c r="T118" i="4"/>
  <c r="S118" i="4"/>
  <c r="R118" i="4"/>
  <c r="U118" i="4" s="1"/>
  <c r="Q118" i="4"/>
  <c r="P118" i="4"/>
  <c r="N118" i="4"/>
  <c r="M118" i="4"/>
  <c r="L118" i="4"/>
  <c r="O118" i="4" s="1"/>
  <c r="J116" i="4"/>
  <c r="I114" i="4"/>
  <c r="K114" i="4" s="1"/>
  <c r="I109" i="4"/>
  <c r="I93" i="4" s="1"/>
  <c r="K93" i="4" s="1"/>
  <c r="I108" i="4"/>
  <c r="K108" i="4" s="1"/>
  <c r="U102" i="4"/>
  <c r="T102" i="4"/>
  <c r="N102" i="4"/>
  <c r="M102" i="4"/>
  <c r="P102" i="4" s="1"/>
  <c r="L102" i="4"/>
  <c r="U101" i="4"/>
  <c r="T101" i="4"/>
  <c r="P101" i="4"/>
  <c r="O101" i="4"/>
  <c r="T100" i="4"/>
  <c r="S100" i="4"/>
  <c r="R100" i="4"/>
  <c r="U100" i="4" s="1"/>
  <c r="Q100" i="4"/>
  <c r="S99" i="4"/>
  <c r="S97" i="4" s="1"/>
  <c r="R99" i="4"/>
  <c r="R96" i="4" s="1"/>
  <c r="U96" i="4" s="1"/>
  <c r="Q99" i="4"/>
  <c r="Q97" i="4" s="1"/>
  <c r="T97" i="4" s="1"/>
  <c r="N99" i="4"/>
  <c r="N97" i="4" s="1"/>
  <c r="M99" i="4"/>
  <c r="P99" i="4" s="1"/>
  <c r="L99" i="4"/>
  <c r="U98" i="4"/>
  <c r="T98" i="4"/>
  <c r="P98" i="4"/>
  <c r="O98" i="4"/>
  <c r="T95" i="4"/>
  <c r="S95" i="4"/>
  <c r="R95" i="4"/>
  <c r="U95" i="4" s="1"/>
  <c r="Q95" i="4"/>
  <c r="P95" i="4"/>
  <c r="N95" i="4"/>
  <c r="M95" i="4"/>
  <c r="L95" i="4"/>
  <c r="O95" i="4" s="1"/>
  <c r="J93" i="4"/>
  <c r="J92" i="4"/>
  <c r="I90" i="4"/>
  <c r="K90" i="4" s="1"/>
  <c r="I89" i="4"/>
  <c r="K89" i="4" s="1"/>
  <c r="I88" i="4"/>
  <c r="K88" i="4" s="1"/>
  <c r="I87" i="4"/>
  <c r="K87" i="4" s="1"/>
  <c r="I86" i="4"/>
  <c r="I85" i="4"/>
  <c r="K85" i="4" s="1"/>
  <c r="I84" i="4"/>
  <c r="K84" i="4" s="1"/>
  <c r="J83" i="4"/>
  <c r="J82" i="4"/>
  <c r="S80" i="4"/>
  <c r="S78" i="4" s="1"/>
  <c r="R80" i="4"/>
  <c r="R78" i="4" s="1"/>
  <c r="U78" i="4" s="1"/>
  <c r="Q80" i="4"/>
  <c r="Q78" i="4" s="1"/>
  <c r="T78" i="4" s="1"/>
  <c r="N80" i="4"/>
  <c r="N78" i="4" s="1"/>
  <c r="M80" i="4"/>
  <c r="M78" i="4" s="1"/>
  <c r="P78" i="4" s="1"/>
  <c r="L80" i="4"/>
  <c r="L78" i="4" s="1"/>
  <c r="O78" i="4" s="1"/>
  <c r="U79" i="4"/>
  <c r="T79" i="4"/>
  <c r="P79" i="4"/>
  <c r="O79" i="4"/>
  <c r="S77" i="4"/>
  <c r="R77" i="4"/>
  <c r="R75" i="4" s="1"/>
  <c r="U75" i="4" s="1"/>
  <c r="Q77" i="4"/>
  <c r="Q75" i="4" s="1"/>
  <c r="T75" i="4" s="1"/>
  <c r="N77" i="4"/>
  <c r="N75" i="4" s="1"/>
  <c r="M77" i="4"/>
  <c r="P77" i="4" s="1"/>
  <c r="L77" i="4"/>
  <c r="O77" i="4" s="1"/>
  <c r="U76" i="4"/>
  <c r="T76" i="4"/>
  <c r="P76" i="4"/>
  <c r="O76" i="4"/>
  <c r="T73" i="4"/>
  <c r="S73" i="4"/>
  <c r="R73" i="4"/>
  <c r="Q73" i="4"/>
  <c r="P73" i="4"/>
  <c r="N73" i="4"/>
  <c r="M73" i="4"/>
  <c r="L73" i="4"/>
  <c r="J71" i="4"/>
  <c r="J70" i="4"/>
  <c r="U67" i="4"/>
  <c r="T67" i="4"/>
  <c r="N67" i="4"/>
  <c r="N65" i="4" s="1"/>
  <c r="M67" i="4"/>
  <c r="P67" i="4" s="1"/>
  <c r="L67" i="4"/>
  <c r="O67" i="4" s="1"/>
  <c r="U66" i="4"/>
  <c r="T66" i="4"/>
  <c r="P66" i="4"/>
  <c r="O66" i="4"/>
  <c r="U65" i="4"/>
  <c r="S65" i="4"/>
  <c r="R65" i="4"/>
  <c r="Q65" i="4"/>
  <c r="T65" i="4" s="1"/>
  <c r="U64" i="4"/>
  <c r="T64" i="4"/>
  <c r="N64" i="4"/>
  <c r="M64" i="4"/>
  <c r="M62" i="4" s="1"/>
  <c r="L64" i="4"/>
  <c r="L62" i="4" s="1"/>
  <c r="U63" i="4"/>
  <c r="T63" i="4"/>
  <c r="P63" i="4"/>
  <c r="O63" i="4"/>
  <c r="T62" i="4"/>
  <c r="S62" i="4"/>
  <c r="R62" i="4"/>
  <c r="U62" i="4" s="1"/>
  <c r="Q62" i="4"/>
  <c r="T61" i="4"/>
  <c r="S61" i="4"/>
  <c r="R61" i="4"/>
  <c r="U61" i="4" s="1"/>
  <c r="Q61" i="4"/>
  <c r="T60" i="4"/>
  <c r="S60" i="4"/>
  <c r="R60" i="4"/>
  <c r="Q60" i="4"/>
  <c r="Q59" i="4" s="1"/>
  <c r="T59" i="4" s="1"/>
  <c r="P60" i="4"/>
  <c r="N60" i="4"/>
  <c r="M60" i="4"/>
  <c r="L60" i="4"/>
  <c r="S59" i="4"/>
  <c r="U52" i="4"/>
  <c r="T52" i="4"/>
  <c r="N52" i="4"/>
  <c r="N50" i="4" s="1"/>
  <c r="M52" i="4"/>
  <c r="P52" i="4" s="1"/>
  <c r="L52" i="4"/>
  <c r="O52" i="4" s="1"/>
  <c r="U51" i="4"/>
  <c r="T51" i="4"/>
  <c r="P51" i="4"/>
  <c r="O51" i="4"/>
  <c r="U50" i="4"/>
  <c r="S50" i="4"/>
  <c r="R50" i="4"/>
  <c r="Q50" i="4"/>
  <c r="T50" i="4" s="1"/>
  <c r="U49" i="4"/>
  <c r="T49" i="4"/>
  <c r="N49" i="4"/>
  <c r="M49" i="4"/>
  <c r="M47" i="4" s="1"/>
  <c r="L49" i="4"/>
  <c r="L47" i="4" s="1"/>
  <c r="U48" i="4"/>
  <c r="T48" i="4"/>
  <c r="P48" i="4"/>
  <c r="O48" i="4"/>
  <c r="T47" i="4"/>
  <c r="S47" i="4"/>
  <c r="R47" i="4"/>
  <c r="U47" i="4" s="1"/>
  <c r="Q47" i="4"/>
  <c r="T46" i="4"/>
  <c r="S46" i="4"/>
  <c r="R46" i="4"/>
  <c r="U46" i="4" s="1"/>
  <c r="Q46" i="4"/>
  <c r="T45" i="4"/>
  <c r="S45" i="4"/>
  <c r="R45" i="4"/>
  <c r="Q45" i="4"/>
  <c r="Q44" i="4" s="1"/>
  <c r="T44" i="4" s="1"/>
  <c r="P45" i="4"/>
  <c r="N45" i="4"/>
  <c r="M45" i="4"/>
  <c r="L45" i="4"/>
  <c r="S44" i="4"/>
  <c r="U25" i="4"/>
  <c r="S25" i="4"/>
  <c r="R25" i="4"/>
  <c r="Q25" i="4"/>
  <c r="O25" i="4"/>
  <c r="N25" i="4"/>
  <c r="M25" i="4"/>
  <c r="P25" i="4" s="1"/>
  <c r="L25" i="4"/>
  <c r="U22" i="4"/>
  <c r="S22" i="4"/>
  <c r="R22" i="4"/>
  <c r="Q22" i="4"/>
  <c r="T22" i="4" s="1"/>
  <c r="O22" i="4"/>
  <c r="N22" i="4"/>
  <c r="M22" i="4"/>
  <c r="P22" i="4" s="1"/>
  <c r="L22" i="4"/>
  <c r="U19" i="4"/>
  <c r="S19" i="4"/>
  <c r="R19" i="4"/>
  <c r="Q19" i="4"/>
  <c r="T19" i="4" s="1"/>
  <c r="O19" i="4"/>
  <c r="N19" i="4"/>
  <c r="M19" i="4"/>
  <c r="L19" i="4"/>
  <c r="A789" i="3"/>
  <c r="A788" i="3"/>
  <c r="J785" i="3"/>
  <c r="I785" i="3"/>
  <c r="J784" i="3"/>
  <c r="I784" i="3"/>
  <c r="J783" i="3"/>
  <c r="I783" i="3"/>
  <c r="K783" i="3" s="1"/>
  <c r="J782" i="3"/>
  <c r="I782" i="3"/>
  <c r="K782" i="3" s="1"/>
  <c r="J781" i="3"/>
  <c r="I781" i="3"/>
  <c r="J780" i="3"/>
  <c r="I780" i="3"/>
  <c r="J779" i="3"/>
  <c r="I779" i="3"/>
  <c r="J778" i="3"/>
  <c r="I778" i="3"/>
  <c r="H777" i="3"/>
  <c r="I776" i="3"/>
  <c r="I775" i="3"/>
  <c r="I774" i="3"/>
  <c r="I772" i="3"/>
  <c r="I770" i="3"/>
  <c r="K770" i="3" s="1"/>
  <c r="U768" i="3"/>
  <c r="T768" i="3"/>
  <c r="P768" i="3"/>
  <c r="O768" i="3"/>
  <c r="U767" i="3"/>
  <c r="T767" i="3"/>
  <c r="P767" i="3"/>
  <c r="O767" i="3"/>
  <c r="U766" i="3"/>
  <c r="T766" i="3"/>
  <c r="S766" i="3"/>
  <c r="R766" i="3"/>
  <c r="Q766" i="3"/>
  <c r="O766" i="3"/>
  <c r="N766" i="3"/>
  <c r="M766" i="3"/>
  <c r="P766" i="3" s="1"/>
  <c r="L766" i="3"/>
  <c r="S765" i="3"/>
  <c r="S763" i="3" s="1"/>
  <c r="R765" i="3"/>
  <c r="Q765" i="3"/>
  <c r="Q763" i="3" s="1"/>
  <c r="P765" i="3"/>
  <c r="O765" i="3"/>
  <c r="U764" i="3"/>
  <c r="T764" i="3"/>
  <c r="P764" i="3"/>
  <c r="O764" i="3"/>
  <c r="P763" i="3"/>
  <c r="N763" i="3"/>
  <c r="M763" i="3"/>
  <c r="L763" i="3"/>
  <c r="O763" i="3" s="1"/>
  <c r="P762" i="3"/>
  <c r="N762" i="3"/>
  <c r="M762" i="3"/>
  <c r="L762" i="3"/>
  <c r="O762" i="3" s="1"/>
  <c r="T761" i="3"/>
  <c r="S761" i="3"/>
  <c r="R761" i="3"/>
  <c r="U761" i="3" s="1"/>
  <c r="Q761" i="3"/>
  <c r="N761" i="3"/>
  <c r="M761" i="3"/>
  <c r="M760" i="3" s="1"/>
  <c r="P760" i="3" s="1"/>
  <c r="L761" i="3"/>
  <c r="O761" i="3" s="1"/>
  <c r="N760" i="3"/>
  <c r="J759" i="3"/>
  <c r="J758" i="3"/>
  <c r="I755" i="3"/>
  <c r="K755" i="3" s="1"/>
  <c r="I752" i="3"/>
  <c r="K752" i="3" s="1"/>
  <c r="I749" i="3"/>
  <c r="K749" i="3" s="1"/>
  <c r="I746" i="3"/>
  <c r="K746" i="3" s="1"/>
  <c r="I744" i="3"/>
  <c r="K744" i="3" s="1"/>
  <c r="I742" i="3"/>
  <c r="K742" i="3" s="1"/>
  <c r="I740" i="3"/>
  <c r="K740" i="3" s="1"/>
  <c r="U736" i="3"/>
  <c r="T736" i="3"/>
  <c r="P736" i="3"/>
  <c r="O736" i="3"/>
  <c r="U735" i="3"/>
  <c r="T735" i="3"/>
  <c r="P735" i="3"/>
  <c r="O735" i="3"/>
  <c r="T734" i="3"/>
  <c r="S734" i="3"/>
  <c r="R734" i="3"/>
  <c r="U734" i="3" s="1"/>
  <c r="Q734" i="3"/>
  <c r="N734" i="3"/>
  <c r="M734" i="3"/>
  <c r="P734" i="3" s="1"/>
  <c r="L734" i="3"/>
  <c r="O734" i="3" s="1"/>
  <c r="S733" i="3"/>
  <c r="S731" i="3" s="1"/>
  <c r="R733" i="3"/>
  <c r="R731" i="3" s="1"/>
  <c r="Q733" i="3"/>
  <c r="Q730" i="3" s="1"/>
  <c r="P733" i="3"/>
  <c r="O733" i="3"/>
  <c r="U732" i="3"/>
  <c r="T732" i="3"/>
  <c r="P732" i="3"/>
  <c r="O732" i="3"/>
  <c r="O731" i="3"/>
  <c r="N731" i="3"/>
  <c r="M731" i="3"/>
  <c r="P731" i="3" s="1"/>
  <c r="L731" i="3"/>
  <c r="O730" i="3"/>
  <c r="N730" i="3"/>
  <c r="M730" i="3"/>
  <c r="P730" i="3" s="1"/>
  <c r="L730" i="3"/>
  <c r="S729" i="3"/>
  <c r="R729" i="3"/>
  <c r="Q729" i="3"/>
  <c r="T729" i="3" s="1"/>
  <c r="N729" i="3"/>
  <c r="N728" i="3" s="1"/>
  <c r="M729" i="3"/>
  <c r="P729" i="3" s="1"/>
  <c r="L729" i="3"/>
  <c r="L728" i="3" s="1"/>
  <c r="O728" i="3" s="1"/>
  <c r="P728" i="3"/>
  <c r="M728" i="3"/>
  <c r="J727" i="3"/>
  <c r="I727" i="3"/>
  <c r="J726" i="3"/>
  <c r="I726" i="3"/>
  <c r="K726" i="3" s="1"/>
  <c r="U722" i="3"/>
  <c r="T722" i="3"/>
  <c r="P722" i="3"/>
  <c r="O722" i="3"/>
  <c r="U721" i="3"/>
  <c r="T721" i="3"/>
  <c r="P721" i="3"/>
  <c r="O721" i="3"/>
  <c r="U720" i="3"/>
  <c r="S720" i="3"/>
  <c r="R720" i="3"/>
  <c r="Q720" i="3"/>
  <c r="T720" i="3" s="1"/>
  <c r="P720" i="3"/>
  <c r="O720" i="3"/>
  <c r="N720" i="3"/>
  <c r="M720" i="3"/>
  <c r="L720" i="3"/>
  <c r="U719" i="3"/>
  <c r="T719" i="3"/>
  <c r="P719" i="3"/>
  <c r="O719" i="3"/>
  <c r="U718" i="3"/>
  <c r="T718" i="3"/>
  <c r="P718" i="3"/>
  <c r="O718" i="3"/>
  <c r="U717" i="3"/>
  <c r="S717" i="3"/>
  <c r="R717" i="3"/>
  <c r="Q717" i="3"/>
  <c r="T717" i="3" s="1"/>
  <c r="O717" i="3"/>
  <c r="N717" i="3"/>
  <c r="M717" i="3"/>
  <c r="P717" i="3" s="1"/>
  <c r="L717" i="3"/>
  <c r="U716" i="3"/>
  <c r="S716" i="3"/>
  <c r="R716" i="3"/>
  <c r="Q716" i="3"/>
  <c r="T716" i="3" s="1"/>
  <c r="O716" i="3"/>
  <c r="N716" i="3"/>
  <c r="M716" i="3"/>
  <c r="P716" i="3" s="1"/>
  <c r="L716" i="3"/>
  <c r="U715" i="3"/>
  <c r="S715" i="3"/>
  <c r="R715" i="3"/>
  <c r="R714" i="3" s="1"/>
  <c r="U714" i="3" s="1"/>
  <c r="Q715" i="3"/>
  <c r="T715" i="3" s="1"/>
  <c r="N715" i="3"/>
  <c r="N714" i="3" s="1"/>
  <c r="M715" i="3"/>
  <c r="P715" i="3" s="1"/>
  <c r="L715" i="3"/>
  <c r="S714" i="3"/>
  <c r="M714" i="3"/>
  <c r="P714" i="3" s="1"/>
  <c r="K712" i="3"/>
  <c r="J712" i="3"/>
  <c r="K710" i="3"/>
  <c r="J710" i="3"/>
  <c r="J709" i="3"/>
  <c r="I709" i="3"/>
  <c r="K708" i="3"/>
  <c r="J708" i="3"/>
  <c r="J707" i="3"/>
  <c r="I707" i="3"/>
  <c r="K706" i="3"/>
  <c r="J706" i="3"/>
  <c r="J705" i="3"/>
  <c r="I705" i="3"/>
  <c r="K704" i="3"/>
  <c r="J704" i="3"/>
  <c r="J703" i="3"/>
  <c r="I703" i="3"/>
  <c r="K703" i="3" s="1"/>
  <c r="K702" i="3"/>
  <c r="I700" i="3"/>
  <c r="K700" i="3" s="1"/>
  <c r="U698" i="3"/>
  <c r="T698" i="3"/>
  <c r="P698" i="3"/>
  <c r="O698" i="3"/>
  <c r="U697" i="3"/>
  <c r="T697" i="3"/>
  <c r="P697" i="3"/>
  <c r="O697" i="3"/>
  <c r="T696" i="3"/>
  <c r="S696" i="3"/>
  <c r="R696" i="3"/>
  <c r="U696" i="3" s="1"/>
  <c r="Q696" i="3"/>
  <c r="P696" i="3"/>
  <c r="N696" i="3"/>
  <c r="M696" i="3"/>
  <c r="L696" i="3"/>
  <c r="O696" i="3" s="1"/>
  <c r="S695" i="3"/>
  <c r="R695" i="3"/>
  <c r="R693" i="3" s="1"/>
  <c r="Q695" i="3"/>
  <c r="Q693" i="3" s="1"/>
  <c r="P695" i="3"/>
  <c r="O695" i="3"/>
  <c r="U694" i="3"/>
  <c r="T694" i="3"/>
  <c r="P694" i="3"/>
  <c r="O694" i="3"/>
  <c r="N693" i="3"/>
  <c r="M693" i="3"/>
  <c r="P693" i="3" s="1"/>
  <c r="L693" i="3"/>
  <c r="O693" i="3" s="1"/>
  <c r="O692" i="3"/>
  <c r="N692" i="3"/>
  <c r="M692" i="3"/>
  <c r="P692" i="3" s="1"/>
  <c r="L692" i="3"/>
  <c r="U691" i="3"/>
  <c r="S691" i="3"/>
  <c r="R691" i="3"/>
  <c r="Q691" i="3"/>
  <c r="O691" i="3"/>
  <c r="N691" i="3"/>
  <c r="N690" i="3" s="1"/>
  <c r="M691" i="3"/>
  <c r="P691" i="3" s="1"/>
  <c r="L691" i="3"/>
  <c r="L690" i="3"/>
  <c r="O690" i="3" s="1"/>
  <c r="J682" i="3"/>
  <c r="I682" i="3"/>
  <c r="K682" i="3" s="1"/>
  <c r="J681" i="3"/>
  <c r="I681" i="3"/>
  <c r="K681" i="3" s="1"/>
  <c r="J680" i="3"/>
  <c r="J679" i="3"/>
  <c r="I679" i="3"/>
  <c r="K679" i="3" s="1"/>
  <c r="J678" i="3"/>
  <c r="I678" i="3"/>
  <c r="K678" i="3" s="1"/>
  <c r="J677" i="3"/>
  <c r="J676" i="3"/>
  <c r="I676" i="3"/>
  <c r="K676" i="3" s="1"/>
  <c r="I675" i="3"/>
  <c r="K675" i="3" s="1"/>
  <c r="I674" i="3"/>
  <c r="K674" i="3" s="1"/>
  <c r="J673" i="3"/>
  <c r="I673" i="3"/>
  <c r="K673" i="3" s="1"/>
  <c r="J672" i="3"/>
  <c r="J671" i="3"/>
  <c r="J661" i="3"/>
  <c r="I661" i="3"/>
  <c r="K661" i="3" s="1"/>
  <c r="I660" i="3"/>
  <c r="I657" i="3"/>
  <c r="J654" i="3"/>
  <c r="I654" i="3"/>
  <c r="K654" i="3" s="1"/>
  <c r="J653" i="3"/>
  <c r="I653" i="3"/>
  <c r="K653" i="3" s="1"/>
  <c r="J652" i="3"/>
  <c r="I652" i="3"/>
  <c r="K652" i="3" s="1"/>
  <c r="U650" i="3"/>
  <c r="T650" i="3"/>
  <c r="P650" i="3"/>
  <c r="O650" i="3"/>
  <c r="U649" i="3"/>
  <c r="T649" i="3"/>
  <c r="P649" i="3"/>
  <c r="O649" i="3"/>
  <c r="U648" i="3"/>
  <c r="T648" i="3"/>
  <c r="S648" i="3"/>
  <c r="R648" i="3"/>
  <c r="Q648" i="3"/>
  <c r="P648" i="3"/>
  <c r="O648" i="3"/>
  <c r="N648" i="3"/>
  <c r="M648" i="3"/>
  <c r="L648" i="3"/>
  <c r="S647" i="3"/>
  <c r="S645" i="3" s="1"/>
  <c r="R647" i="3"/>
  <c r="U647" i="3" s="1"/>
  <c r="Q647" i="3"/>
  <c r="T647" i="3" s="1"/>
  <c r="P647" i="3"/>
  <c r="O647" i="3"/>
  <c r="U646" i="3"/>
  <c r="T646" i="3"/>
  <c r="P646" i="3"/>
  <c r="O646" i="3"/>
  <c r="N645" i="3"/>
  <c r="M645" i="3"/>
  <c r="P645" i="3" s="1"/>
  <c r="L645" i="3"/>
  <c r="O645" i="3" s="1"/>
  <c r="O644" i="3"/>
  <c r="N644" i="3"/>
  <c r="M644" i="3"/>
  <c r="P644" i="3" s="1"/>
  <c r="L644" i="3"/>
  <c r="U643" i="3"/>
  <c r="S643" i="3"/>
  <c r="R643" i="3"/>
  <c r="Q643" i="3"/>
  <c r="O643" i="3"/>
  <c r="N643" i="3"/>
  <c r="N642" i="3" s="1"/>
  <c r="M643" i="3"/>
  <c r="P643" i="3" s="1"/>
  <c r="L643" i="3"/>
  <c r="L642" i="3"/>
  <c r="O642" i="3" s="1"/>
  <c r="J636" i="3"/>
  <c r="J635" i="3"/>
  <c r="I635" i="3"/>
  <c r="K635" i="3" s="1"/>
  <c r="J632" i="3"/>
  <c r="I628" i="3"/>
  <c r="K628" i="3" s="1"/>
  <c r="I627" i="3"/>
  <c r="K627" i="3" s="1"/>
  <c r="J626" i="3"/>
  <c r="J615" i="3" s="1"/>
  <c r="I626" i="3"/>
  <c r="K630" i="3" s="1"/>
  <c r="U624" i="3"/>
  <c r="T624" i="3"/>
  <c r="P624" i="3"/>
  <c r="O624" i="3"/>
  <c r="U623" i="3"/>
  <c r="T623" i="3"/>
  <c r="P623" i="3"/>
  <c r="O623" i="3"/>
  <c r="U622" i="3"/>
  <c r="S622" i="3"/>
  <c r="R622" i="3"/>
  <c r="Q622" i="3"/>
  <c r="T622" i="3" s="1"/>
  <c r="O622" i="3"/>
  <c r="N622" i="3"/>
  <c r="M622" i="3"/>
  <c r="P622" i="3" s="1"/>
  <c r="L622" i="3"/>
  <c r="S621" i="3"/>
  <c r="R621" i="3"/>
  <c r="Q621" i="3"/>
  <c r="Q619" i="3" s="1"/>
  <c r="P621" i="3"/>
  <c r="O621" i="3"/>
  <c r="U620" i="3"/>
  <c r="T620" i="3"/>
  <c r="P620" i="3"/>
  <c r="O620" i="3"/>
  <c r="P619" i="3"/>
  <c r="N619" i="3"/>
  <c r="M619" i="3"/>
  <c r="L619" i="3"/>
  <c r="O619" i="3" s="1"/>
  <c r="P618" i="3"/>
  <c r="N618" i="3"/>
  <c r="M618" i="3"/>
  <c r="L618" i="3"/>
  <c r="O618" i="3" s="1"/>
  <c r="U617" i="3"/>
  <c r="T617" i="3"/>
  <c r="S617" i="3"/>
  <c r="R617" i="3"/>
  <c r="Q617" i="3"/>
  <c r="P617" i="3"/>
  <c r="O617" i="3"/>
  <c r="N617" i="3"/>
  <c r="N616" i="3" s="1"/>
  <c r="M617" i="3"/>
  <c r="L617" i="3"/>
  <c r="L616" i="3" s="1"/>
  <c r="O616" i="3" s="1"/>
  <c r="P616" i="3"/>
  <c r="M616" i="3"/>
  <c r="S607" i="3"/>
  <c r="S605" i="3" s="1"/>
  <c r="R607" i="3"/>
  <c r="U607" i="3" s="1"/>
  <c r="Q607" i="3"/>
  <c r="N607" i="3"/>
  <c r="N605" i="3" s="1"/>
  <c r="M607" i="3"/>
  <c r="P607" i="3" s="1"/>
  <c r="L607" i="3"/>
  <c r="O607" i="3" s="1"/>
  <c r="U606" i="3"/>
  <c r="T606" i="3"/>
  <c r="P606" i="3"/>
  <c r="O606" i="3"/>
  <c r="S604" i="3"/>
  <c r="R604" i="3"/>
  <c r="U604" i="3" s="1"/>
  <c r="Q604" i="3"/>
  <c r="Q602" i="3" s="1"/>
  <c r="T602" i="3" s="1"/>
  <c r="N604" i="3"/>
  <c r="M604" i="3"/>
  <c r="L604" i="3"/>
  <c r="U603" i="3"/>
  <c r="T603" i="3"/>
  <c r="P603" i="3"/>
  <c r="O603" i="3"/>
  <c r="S600" i="3"/>
  <c r="R600" i="3"/>
  <c r="Q600" i="3"/>
  <c r="T600" i="3" s="1"/>
  <c r="O600" i="3"/>
  <c r="N600" i="3"/>
  <c r="M600" i="3"/>
  <c r="P600" i="3" s="1"/>
  <c r="L600" i="3"/>
  <c r="K587" i="3"/>
  <c r="K586" i="3"/>
  <c r="U584" i="3"/>
  <c r="T584" i="3"/>
  <c r="N584" i="3"/>
  <c r="N582" i="3" s="1"/>
  <c r="M584" i="3"/>
  <c r="M582" i="3" s="1"/>
  <c r="P582" i="3" s="1"/>
  <c r="L584" i="3"/>
  <c r="O584" i="3" s="1"/>
  <c r="U583" i="3"/>
  <c r="T583" i="3"/>
  <c r="P583" i="3"/>
  <c r="O583" i="3"/>
  <c r="T582" i="3"/>
  <c r="S582" i="3"/>
  <c r="R582" i="3"/>
  <c r="U582" i="3" s="1"/>
  <c r="Q582" i="3"/>
  <c r="U581" i="3"/>
  <c r="T581" i="3"/>
  <c r="N581" i="3"/>
  <c r="N579" i="3" s="1"/>
  <c r="M581" i="3"/>
  <c r="M579" i="3" s="1"/>
  <c r="L581" i="3"/>
  <c r="L579" i="3" s="1"/>
  <c r="U580" i="3"/>
  <c r="T580" i="3"/>
  <c r="P580" i="3"/>
  <c r="O580" i="3"/>
  <c r="S579" i="3"/>
  <c r="R579" i="3"/>
  <c r="U579" i="3" s="1"/>
  <c r="Q579" i="3"/>
  <c r="T579" i="3" s="1"/>
  <c r="U578" i="3"/>
  <c r="S578" i="3"/>
  <c r="R578" i="3"/>
  <c r="Q578" i="3"/>
  <c r="T578" i="3" s="1"/>
  <c r="U577" i="3"/>
  <c r="T577" i="3"/>
  <c r="S577" i="3"/>
  <c r="R577" i="3"/>
  <c r="Q577" i="3"/>
  <c r="Q576" i="3" s="1"/>
  <c r="T576" i="3" s="1"/>
  <c r="O577" i="3"/>
  <c r="N577" i="3"/>
  <c r="M577" i="3"/>
  <c r="P577" i="3" s="1"/>
  <c r="L577" i="3"/>
  <c r="U576" i="3"/>
  <c r="R576" i="3"/>
  <c r="J575" i="3"/>
  <c r="I575" i="3"/>
  <c r="K575" i="3" s="1"/>
  <c r="U563" i="3"/>
  <c r="T563" i="3"/>
  <c r="N563" i="3"/>
  <c r="N561" i="3" s="1"/>
  <c r="M563" i="3"/>
  <c r="L563" i="3"/>
  <c r="O563" i="3" s="1"/>
  <c r="U562" i="3"/>
  <c r="T562" i="3"/>
  <c r="P562" i="3"/>
  <c r="O562" i="3"/>
  <c r="U561" i="3"/>
  <c r="S561" i="3"/>
  <c r="R561" i="3"/>
  <c r="Q561" i="3"/>
  <c r="T561" i="3" s="1"/>
  <c r="U560" i="3"/>
  <c r="T560" i="3"/>
  <c r="N560" i="3"/>
  <c r="N558" i="3" s="1"/>
  <c r="M560" i="3"/>
  <c r="L560" i="3"/>
  <c r="O560" i="3" s="1"/>
  <c r="U559" i="3"/>
  <c r="T559" i="3"/>
  <c r="P559" i="3"/>
  <c r="O559" i="3"/>
  <c r="U558" i="3"/>
  <c r="T558" i="3"/>
  <c r="S558" i="3"/>
  <c r="R558" i="3"/>
  <c r="Q558" i="3"/>
  <c r="T557" i="3"/>
  <c r="S557" i="3"/>
  <c r="S555" i="3" s="1"/>
  <c r="R557" i="3"/>
  <c r="U557" i="3" s="1"/>
  <c r="Q557" i="3"/>
  <c r="T556" i="3"/>
  <c r="S556" i="3"/>
  <c r="R556" i="3"/>
  <c r="U556" i="3" s="1"/>
  <c r="Q556" i="3"/>
  <c r="Q555" i="3" s="1"/>
  <c r="P556" i="3"/>
  <c r="N556" i="3"/>
  <c r="M556" i="3"/>
  <c r="L556" i="3"/>
  <c r="O556" i="3" s="1"/>
  <c r="T555" i="3"/>
  <c r="R555" i="3"/>
  <c r="U555" i="3" s="1"/>
  <c r="J554" i="3"/>
  <c r="I554" i="3"/>
  <c r="K554" i="3" s="1"/>
  <c r="U542" i="3"/>
  <c r="T542" i="3"/>
  <c r="N542" i="3"/>
  <c r="N540" i="3" s="1"/>
  <c r="M542" i="3"/>
  <c r="L542" i="3"/>
  <c r="L540" i="3" s="1"/>
  <c r="O540" i="3" s="1"/>
  <c r="U541" i="3"/>
  <c r="T541" i="3"/>
  <c r="P541" i="3"/>
  <c r="O541" i="3"/>
  <c r="U540" i="3"/>
  <c r="T540" i="3"/>
  <c r="S540" i="3"/>
  <c r="R540" i="3"/>
  <c r="Q540" i="3"/>
  <c r="U539" i="3"/>
  <c r="T539" i="3"/>
  <c r="N539" i="3"/>
  <c r="N537" i="3" s="1"/>
  <c r="M539" i="3"/>
  <c r="M537" i="3" s="1"/>
  <c r="P537" i="3" s="1"/>
  <c r="L539" i="3"/>
  <c r="O539" i="3" s="1"/>
  <c r="U538" i="3"/>
  <c r="T538" i="3"/>
  <c r="P538" i="3"/>
  <c r="O538" i="3"/>
  <c r="U537" i="3"/>
  <c r="S537" i="3"/>
  <c r="R537" i="3"/>
  <c r="Q537" i="3"/>
  <c r="T537" i="3" s="1"/>
  <c r="U536" i="3"/>
  <c r="S536" i="3"/>
  <c r="R536" i="3"/>
  <c r="Q536" i="3"/>
  <c r="T536" i="3" s="1"/>
  <c r="U535" i="3"/>
  <c r="T535" i="3"/>
  <c r="S535" i="3"/>
  <c r="S534" i="3" s="1"/>
  <c r="R535" i="3"/>
  <c r="Q535" i="3"/>
  <c r="O535" i="3"/>
  <c r="N535" i="3"/>
  <c r="M535" i="3"/>
  <c r="L535" i="3"/>
  <c r="U534" i="3"/>
  <c r="R534" i="3"/>
  <c r="Q534" i="3"/>
  <c r="T534" i="3" s="1"/>
  <c r="K533" i="3"/>
  <c r="J533" i="3"/>
  <c r="I533" i="3"/>
  <c r="K524" i="3"/>
  <c r="K523" i="3"/>
  <c r="U521" i="3"/>
  <c r="T521" i="3"/>
  <c r="N521" i="3"/>
  <c r="N519" i="3" s="1"/>
  <c r="M521" i="3"/>
  <c r="P521" i="3" s="1"/>
  <c r="L521" i="3"/>
  <c r="L519" i="3" s="1"/>
  <c r="O519" i="3" s="1"/>
  <c r="U520" i="3"/>
  <c r="T520" i="3"/>
  <c r="P520" i="3"/>
  <c r="O520" i="3"/>
  <c r="U519" i="3"/>
  <c r="S519" i="3"/>
  <c r="R519" i="3"/>
  <c r="Q519" i="3"/>
  <c r="T519" i="3" s="1"/>
  <c r="U518" i="3"/>
  <c r="T518" i="3"/>
  <c r="N518" i="3"/>
  <c r="M518" i="3"/>
  <c r="P518" i="3" s="1"/>
  <c r="L518" i="3"/>
  <c r="U517" i="3"/>
  <c r="T517" i="3"/>
  <c r="P517" i="3"/>
  <c r="O517" i="3"/>
  <c r="T516" i="3"/>
  <c r="S516" i="3"/>
  <c r="R516" i="3"/>
  <c r="U516" i="3" s="1"/>
  <c r="Q516" i="3"/>
  <c r="T515" i="3"/>
  <c r="S515" i="3"/>
  <c r="R515" i="3"/>
  <c r="U515" i="3" s="1"/>
  <c r="Q515" i="3"/>
  <c r="T514" i="3"/>
  <c r="S514" i="3"/>
  <c r="S513" i="3" s="1"/>
  <c r="R514" i="3"/>
  <c r="Q514" i="3"/>
  <c r="N514" i="3"/>
  <c r="M514" i="3"/>
  <c r="L514" i="3"/>
  <c r="Q513" i="3"/>
  <c r="T513" i="3" s="1"/>
  <c r="K512" i="3"/>
  <c r="J512" i="3"/>
  <c r="I512" i="3"/>
  <c r="I509" i="3"/>
  <c r="K509" i="3" s="1"/>
  <c r="K508" i="3"/>
  <c r="I507" i="3"/>
  <c r="K507" i="3" s="1"/>
  <c r="I506" i="3"/>
  <c r="K506" i="3" s="1"/>
  <c r="I505" i="3"/>
  <c r="K505" i="3" s="1"/>
  <c r="I504" i="3"/>
  <c r="K504" i="3" s="1"/>
  <c r="J503" i="3"/>
  <c r="J492" i="3" s="1"/>
  <c r="I503" i="3"/>
  <c r="I492" i="3" s="1"/>
  <c r="U501" i="3"/>
  <c r="T501" i="3"/>
  <c r="N501" i="3"/>
  <c r="N499" i="3" s="1"/>
  <c r="M501" i="3"/>
  <c r="P501" i="3" s="1"/>
  <c r="L501" i="3"/>
  <c r="O501" i="3" s="1"/>
  <c r="U500" i="3"/>
  <c r="T500" i="3"/>
  <c r="P500" i="3"/>
  <c r="O500" i="3"/>
  <c r="T499" i="3"/>
  <c r="S499" i="3"/>
  <c r="R499" i="3"/>
  <c r="U499" i="3" s="1"/>
  <c r="Q499" i="3"/>
  <c r="S498" i="3"/>
  <c r="S495" i="3" s="1"/>
  <c r="S493" i="3" s="1"/>
  <c r="R498" i="3"/>
  <c r="R496" i="3" s="1"/>
  <c r="Q498" i="3"/>
  <c r="Q496" i="3" s="1"/>
  <c r="N498" i="3"/>
  <c r="M498" i="3"/>
  <c r="M496" i="3" s="1"/>
  <c r="L498" i="3"/>
  <c r="U497" i="3"/>
  <c r="T497" i="3"/>
  <c r="P497" i="3"/>
  <c r="O497" i="3"/>
  <c r="T494" i="3"/>
  <c r="S494" i="3"/>
  <c r="R494" i="3"/>
  <c r="Q494" i="3"/>
  <c r="P494" i="3"/>
  <c r="N494" i="3"/>
  <c r="M494" i="3"/>
  <c r="L494" i="3"/>
  <c r="J485" i="3"/>
  <c r="I485" i="3"/>
  <c r="K485" i="3" s="1"/>
  <c r="J484" i="3"/>
  <c r="I484" i="3"/>
  <c r="K484" i="3" s="1"/>
  <c r="J483" i="3"/>
  <c r="J482" i="3"/>
  <c r="K477" i="3"/>
  <c r="J477" i="3"/>
  <c r="K476" i="3"/>
  <c r="J476" i="3"/>
  <c r="K475" i="3"/>
  <c r="J475" i="3"/>
  <c r="J468" i="3"/>
  <c r="J458" i="3" s="1"/>
  <c r="J467" i="3"/>
  <c r="J460" i="3"/>
  <c r="J459" i="3"/>
  <c r="I458" i="3"/>
  <c r="J457" i="3"/>
  <c r="J456" i="3" s="1"/>
  <c r="I457" i="3"/>
  <c r="I456" i="3" s="1"/>
  <c r="K456" i="3" s="1"/>
  <c r="J447" i="3"/>
  <c r="J446" i="3"/>
  <c r="J440" i="3" s="1"/>
  <c r="J423" i="3" s="1"/>
  <c r="J412" i="3" s="1"/>
  <c r="J441" i="3"/>
  <c r="I441" i="3"/>
  <c r="K441" i="3" s="1"/>
  <c r="I440" i="3"/>
  <c r="K440" i="3" s="1"/>
  <c r="J433" i="3"/>
  <c r="I433" i="3"/>
  <c r="K433" i="3" s="1"/>
  <c r="J432" i="3"/>
  <c r="I432" i="3"/>
  <c r="K432" i="3" s="1"/>
  <c r="J425" i="3"/>
  <c r="I425" i="3"/>
  <c r="K425" i="3" s="1"/>
  <c r="J424" i="3"/>
  <c r="I424" i="3"/>
  <c r="K424" i="3" s="1"/>
  <c r="U421" i="3"/>
  <c r="T421" i="3"/>
  <c r="N421" i="3"/>
  <c r="M421" i="3"/>
  <c r="P421" i="3" s="1"/>
  <c r="L421" i="3"/>
  <c r="L419" i="3" s="1"/>
  <c r="O419" i="3" s="1"/>
  <c r="U420" i="3"/>
  <c r="T420" i="3"/>
  <c r="P420" i="3"/>
  <c r="O420" i="3"/>
  <c r="T419" i="3"/>
  <c r="S419" i="3"/>
  <c r="R419" i="3"/>
  <c r="U419" i="3" s="1"/>
  <c r="Q419" i="3"/>
  <c r="S418" i="3"/>
  <c r="S416" i="3" s="1"/>
  <c r="R418" i="3"/>
  <c r="R415" i="3" s="1"/>
  <c r="Q418" i="3"/>
  <c r="N418" i="3"/>
  <c r="N416" i="3" s="1"/>
  <c r="M418" i="3"/>
  <c r="L418" i="3"/>
  <c r="L416" i="3" s="1"/>
  <c r="U417" i="3"/>
  <c r="T417" i="3"/>
  <c r="P417" i="3"/>
  <c r="O417" i="3"/>
  <c r="U414" i="3"/>
  <c r="T414" i="3"/>
  <c r="S414" i="3"/>
  <c r="R414" i="3"/>
  <c r="Q414" i="3"/>
  <c r="O414" i="3"/>
  <c r="N414" i="3"/>
  <c r="M414" i="3"/>
  <c r="P414" i="3" s="1"/>
  <c r="L414" i="3"/>
  <c r="U400" i="3"/>
  <c r="T400" i="3"/>
  <c r="P400" i="3"/>
  <c r="O400" i="3"/>
  <c r="U399" i="3"/>
  <c r="T399" i="3"/>
  <c r="P399" i="3"/>
  <c r="O399" i="3"/>
  <c r="U398" i="3"/>
  <c r="T398" i="3"/>
  <c r="S398" i="3"/>
  <c r="R398" i="3"/>
  <c r="Q398" i="3"/>
  <c r="P398" i="3"/>
  <c r="O398" i="3"/>
  <c r="N398" i="3"/>
  <c r="M398" i="3"/>
  <c r="L398" i="3"/>
  <c r="S397" i="3"/>
  <c r="S395" i="3" s="1"/>
  <c r="R397" i="3"/>
  <c r="R395" i="3" s="1"/>
  <c r="U395" i="3" s="1"/>
  <c r="Q397" i="3"/>
  <c r="Q395" i="3" s="1"/>
  <c r="T395" i="3" s="1"/>
  <c r="P397" i="3"/>
  <c r="O397" i="3"/>
  <c r="U396" i="3"/>
  <c r="T396" i="3"/>
  <c r="P396" i="3"/>
  <c r="O396" i="3"/>
  <c r="N395" i="3"/>
  <c r="M395" i="3"/>
  <c r="P395" i="3" s="1"/>
  <c r="L395" i="3"/>
  <c r="O395" i="3" s="1"/>
  <c r="O394" i="3"/>
  <c r="N394" i="3"/>
  <c r="M394" i="3"/>
  <c r="L394" i="3"/>
  <c r="U393" i="3"/>
  <c r="S393" i="3"/>
  <c r="R393" i="3"/>
  <c r="Q393" i="3"/>
  <c r="T393" i="3" s="1"/>
  <c r="O393" i="3"/>
  <c r="N393" i="3"/>
  <c r="N392" i="3" s="1"/>
  <c r="M393" i="3"/>
  <c r="P393" i="3" s="1"/>
  <c r="L393" i="3"/>
  <c r="L392" i="3"/>
  <c r="O392" i="3" s="1"/>
  <c r="K391" i="3"/>
  <c r="J391" i="3"/>
  <c r="I391" i="3"/>
  <c r="J388" i="3"/>
  <c r="I388" i="3"/>
  <c r="K388" i="3" s="1"/>
  <c r="K387" i="3"/>
  <c r="J387" i="3"/>
  <c r="J386" i="3"/>
  <c r="I386" i="3"/>
  <c r="K385" i="3"/>
  <c r="J385" i="3"/>
  <c r="U383" i="3"/>
  <c r="T383" i="3"/>
  <c r="N383" i="3"/>
  <c r="N381" i="3" s="1"/>
  <c r="M383" i="3"/>
  <c r="P383" i="3" s="1"/>
  <c r="L383" i="3"/>
  <c r="L381" i="3" s="1"/>
  <c r="O381" i="3" s="1"/>
  <c r="U382" i="3"/>
  <c r="T382" i="3"/>
  <c r="P382" i="3"/>
  <c r="O382" i="3"/>
  <c r="U381" i="3"/>
  <c r="S381" i="3"/>
  <c r="R381" i="3"/>
  <c r="Q381" i="3"/>
  <c r="T381" i="3" s="1"/>
  <c r="S380" i="3"/>
  <c r="S378" i="3" s="1"/>
  <c r="R380" i="3"/>
  <c r="R378" i="3" s="1"/>
  <c r="Q380" i="3"/>
  <c r="Q377" i="3" s="1"/>
  <c r="N380" i="3"/>
  <c r="M380" i="3"/>
  <c r="L380" i="3"/>
  <c r="L378" i="3" s="1"/>
  <c r="U379" i="3"/>
  <c r="T379" i="3"/>
  <c r="P379" i="3"/>
  <c r="O379" i="3"/>
  <c r="S376" i="3"/>
  <c r="R376" i="3"/>
  <c r="Q376" i="3"/>
  <c r="O376" i="3"/>
  <c r="N376" i="3"/>
  <c r="M376" i="3"/>
  <c r="P376" i="3" s="1"/>
  <c r="L376" i="3"/>
  <c r="D373" i="3"/>
  <c r="K372" i="3"/>
  <c r="J372" i="3"/>
  <c r="J371" i="3"/>
  <c r="J365" i="3" s="1"/>
  <c r="I371" i="3"/>
  <c r="I365" i="3" s="1"/>
  <c r="K370" i="3"/>
  <c r="J370" i="3"/>
  <c r="J369" i="3"/>
  <c r="I369" i="3"/>
  <c r="J368" i="3"/>
  <c r="I368" i="3"/>
  <c r="K367" i="3"/>
  <c r="J367" i="3"/>
  <c r="U364" i="3"/>
  <c r="T364" i="3"/>
  <c r="N364" i="3"/>
  <c r="M364" i="3"/>
  <c r="M362" i="3" s="1"/>
  <c r="P362" i="3" s="1"/>
  <c r="L364" i="3"/>
  <c r="O364" i="3" s="1"/>
  <c r="U363" i="3"/>
  <c r="T363" i="3"/>
  <c r="P363" i="3"/>
  <c r="O363" i="3"/>
  <c r="T362" i="3"/>
  <c r="S362" i="3"/>
  <c r="R362" i="3"/>
  <c r="U362" i="3" s="1"/>
  <c r="Q362" i="3"/>
  <c r="U361" i="3"/>
  <c r="T361" i="3"/>
  <c r="N361" i="3"/>
  <c r="M361" i="3"/>
  <c r="M359" i="3" s="1"/>
  <c r="L361" i="3"/>
  <c r="U360" i="3"/>
  <c r="T360" i="3"/>
  <c r="P360" i="3"/>
  <c r="O360" i="3"/>
  <c r="U359" i="3"/>
  <c r="T359" i="3"/>
  <c r="S359" i="3"/>
  <c r="R359" i="3"/>
  <c r="Q359" i="3"/>
  <c r="N359" i="3"/>
  <c r="U358" i="3"/>
  <c r="S358" i="3"/>
  <c r="S356" i="3" s="1"/>
  <c r="R358" i="3"/>
  <c r="R356" i="3" s="1"/>
  <c r="Q358" i="3"/>
  <c r="T358" i="3" s="1"/>
  <c r="U357" i="3"/>
  <c r="S357" i="3"/>
  <c r="R357" i="3"/>
  <c r="Q357" i="3"/>
  <c r="T357" i="3" s="1"/>
  <c r="P357" i="3"/>
  <c r="O357" i="3"/>
  <c r="N357" i="3"/>
  <c r="M357" i="3"/>
  <c r="L357" i="3"/>
  <c r="U356" i="3"/>
  <c r="Q356" i="3"/>
  <c r="T356" i="3" s="1"/>
  <c r="J354" i="3"/>
  <c r="J353" i="3"/>
  <c r="J352" i="3"/>
  <c r="D350" i="3"/>
  <c r="J349" i="3"/>
  <c r="J348" i="3"/>
  <c r="J347" i="3"/>
  <c r="J346" i="3"/>
  <c r="I346" i="3"/>
  <c r="K344" i="3"/>
  <c r="J344" i="3"/>
  <c r="U341" i="3"/>
  <c r="T341" i="3"/>
  <c r="N341" i="3"/>
  <c r="N339" i="3" s="1"/>
  <c r="M341" i="3"/>
  <c r="P341" i="3" s="1"/>
  <c r="L341" i="3"/>
  <c r="L339" i="3" s="1"/>
  <c r="O339" i="3" s="1"/>
  <c r="U340" i="3"/>
  <c r="T340" i="3"/>
  <c r="P340" i="3"/>
  <c r="O340" i="3"/>
  <c r="T339" i="3"/>
  <c r="S339" i="3"/>
  <c r="R339" i="3"/>
  <c r="U339" i="3" s="1"/>
  <c r="Q339" i="3"/>
  <c r="U338" i="3"/>
  <c r="T338" i="3"/>
  <c r="N338" i="3"/>
  <c r="N336" i="3" s="1"/>
  <c r="M338" i="3"/>
  <c r="M336" i="3" s="1"/>
  <c r="L338" i="3"/>
  <c r="L336" i="3" s="1"/>
  <c r="U337" i="3"/>
  <c r="T337" i="3"/>
  <c r="P337" i="3"/>
  <c r="O337" i="3"/>
  <c r="U336" i="3"/>
  <c r="S336" i="3"/>
  <c r="R336" i="3"/>
  <c r="Q336" i="3"/>
  <c r="T336" i="3" s="1"/>
  <c r="U335" i="3"/>
  <c r="T335" i="3"/>
  <c r="S335" i="3"/>
  <c r="S333" i="3" s="1"/>
  <c r="R335" i="3"/>
  <c r="Q335" i="3"/>
  <c r="U334" i="3"/>
  <c r="S334" i="3"/>
  <c r="R334" i="3"/>
  <c r="R333" i="3" s="1"/>
  <c r="Q334" i="3"/>
  <c r="T334" i="3" s="1"/>
  <c r="O334" i="3"/>
  <c r="N334" i="3"/>
  <c r="M334" i="3"/>
  <c r="L334" i="3"/>
  <c r="U333" i="3"/>
  <c r="Q333" i="3"/>
  <c r="T333" i="3" s="1"/>
  <c r="I332" i="3"/>
  <c r="I330" i="3"/>
  <c r="K330" i="3" s="1"/>
  <c r="U328" i="3"/>
  <c r="T328" i="3"/>
  <c r="N328" i="3"/>
  <c r="N326" i="3" s="1"/>
  <c r="M328" i="3"/>
  <c r="M326" i="3" s="1"/>
  <c r="L328" i="3"/>
  <c r="U327" i="3"/>
  <c r="T327" i="3"/>
  <c r="P327" i="3"/>
  <c r="O327" i="3"/>
  <c r="U326" i="3"/>
  <c r="S326" i="3"/>
  <c r="R326" i="3"/>
  <c r="Q326" i="3"/>
  <c r="T326" i="3" s="1"/>
  <c r="U325" i="3"/>
  <c r="T325" i="3"/>
  <c r="N325" i="3"/>
  <c r="M325" i="3"/>
  <c r="L325" i="3"/>
  <c r="L323" i="3" s="1"/>
  <c r="U324" i="3"/>
  <c r="T324" i="3"/>
  <c r="P324" i="3"/>
  <c r="O324" i="3"/>
  <c r="U323" i="3"/>
  <c r="T323" i="3"/>
  <c r="S323" i="3"/>
  <c r="R323" i="3"/>
  <c r="Q323" i="3"/>
  <c r="T322" i="3"/>
  <c r="S322" i="3"/>
  <c r="S320" i="3" s="1"/>
  <c r="R322" i="3"/>
  <c r="U322" i="3" s="1"/>
  <c r="Q322" i="3"/>
  <c r="T321" i="3"/>
  <c r="S321" i="3"/>
  <c r="R321" i="3"/>
  <c r="U321" i="3" s="1"/>
  <c r="Q321" i="3"/>
  <c r="Q320" i="3" s="1"/>
  <c r="P321" i="3"/>
  <c r="N321" i="3"/>
  <c r="M321" i="3"/>
  <c r="L321" i="3"/>
  <c r="T320" i="3"/>
  <c r="J319" i="3"/>
  <c r="I314" i="3"/>
  <c r="K314" i="3" s="1"/>
  <c r="U311" i="3"/>
  <c r="T311" i="3"/>
  <c r="N311" i="3"/>
  <c r="N309" i="3" s="1"/>
  <c r="M311" i="3"/>
  <c r="L311" i="3"/>
  <c r="O311" i="3" s="1"/>
  <c r="U310" i="3"/>
  <c r="T310" i="3"/>
  <c r="P310" i="3"/>
  <c r="O310" i="3"/>
  <c r="T309" i="3"/>
  <c r="S309" i="3"/>
  <c r="R309" i="3"/>
  <c r="U309" i="3" s="1"/>
  <c r="Q309" i="3"/>
  <c r="S308" i="3"/>
  <c r="S306" i="3" s="1"/>
  <c r="R308" i="3"/>
  <c r="R305" i="3" s="1"/>
  <c r="Q308" i="3"/>
  <c r="Q306" i="3" s="1"/>
  <c r="N308" i="3"/>
  <c r="M308" i="3"/>
  <c r="L308" i="3"/>
  <c r="L306" i="3" s="1"/>
  <c r="O306" i="3" s="1"/>
  <c r="U307" i="3"/>
  <c r="T307" i="3"/>
  <c r="P307" i="3"/>
  <c r="O307" i="3"/>
  <c r="T304" i="3"/>
  <c r="S304" i="3"/>
  <c r="R304" i="3"/>
  <c r="Q304" i="3"/>
  <c r="N304" i="3"/>
  <c r="M304" i="3"/>
  <c r="L304" i="3"/>
  <c r="O304" i="3" s="1"/>
  <c r="J302" i="3"/>
  <c r="I296" i="3"/>
  <c r="K296" i="3" s="1"/>
  <c r="I295" i="3"/>
  <c r="K295" i="3" s="1"/>
  <c r="J293" i="3"/>
  <c r="J280" i="3" s="1"/>
  <c r="I293" i="3"/>
  <c r="I292" i="3"/>
  <c r="U290" i="3"/>
  <c r="T290" i="3"/>
  <c r="N290" i="3"/>
  <c r="N288" i="3" s="1"/>
  <c r="M290" i="3"/>
  <c r="M288" i="3" s="1"/>
  <c r="P288" i="3" s="1"/>
  <c r="L290" i="3"/>
  <c r="U289" i="3"/>
  <c r="T289" i="3"/>
  <c r="P289" i="3"/>
  <c r="O289" i="3"/>
  <c r="U288" i="3"/>
  <c r="T288" i="3"/>
  <c r="S288" i="3"/>
  <c r="R288" i="3"/>
  <c r="Q288" i="3"/>
  <c r="U287" i="3"/>
  <c r="T287" i="3"/>
  <c r="N287" i="3"/>
  <c r="N285" i="3" s="1"/>
  <c r="M287" i="3"/>
  <c r="M285" i="3" s="1"/>
  <c r="P285" i="3" s="1"/>
  <c r="L287" i="3"/>
  <c r="L285" i="3" s="1"/>
  <c r="O285" i="3" s="1"/>
  <c r="U286" i="3"/>
  <c r="T286" i="3"/>
  <c r="P286" i="3"/>
  <c r="O286" i="3"/>
  <c r="T285" i="3"/>
  <c r="S285" i="3"/>
  <c r="R285" i="3"/>
  <c r="U285" i="3" s="1"/>
  <c r="Q285" i="3"/>
  <c r="U284" i="3"/>
  <c r="T284" i="3"/>
  <c r="S284" i="3"/>
  <c r="R284" i="3"/>
  <c r="Q284" i="3"/>
  <c r="T283" i="3"/>
  <c r="S283" i="3"/>
  <c r="S282" i="3" s="1"/>
  <c r="R283" i="3"/>
  <c r="Q283" i="3"/>
  <c r="P283" i="3"/>
  <c r="N283" i="3"/>
  <c r="M283" i="3"/>
  <c r="L283" i="3"/>
  <c r="O283" i="3" s="1"/>
  <c r="T282" i="3"/>
  <c r="Q282" i="3"/>
  <c r="J281" i="3"/>
  <c r="I276" i="3"/>
  <c r="U274" i="3"/>
  <c r="T274" i="3"/>
  <c r="N274" i="3"/>
  <c r="N272" i="3" s="1"/>
  <c r="M274" i="3"/>
  <c r="P274" i="3" s="1"/>
  <c r="L274" i="3"/>
  <c r="L272" i="3" s="1"/>
  <c r="O272" i="3" s="1"/>
  <c r="U273" i="3"/>
  <c r="T273" i="3"/>
  <c r="P273" i="3"/>
  <c r="O273" i="3"/>
  <c r="U272" i="3"/>
  <c r="S272" i="3"/>
  <c r="R272" i="3"/>
  <c r="Q272" i="3"/>
  <c r="T272" i="3" s="1"/>
  <c r="S271" i="3"/>
  <c r="S269" i="3" s="1"/>
  <c r="R271" i="3"/>
  <c r="R269" i="3" s="1"/>
  <c r="Q271" i="3"/>
  <c r="Q269" i="3" s="1"/>
  <c r="N271" i="3"/>
  <c r="M271" i="3"/>
  <c r="M269" i="3" s="1"/>
  <c r="L271" i="3"/>
  <c r="L269" i="3" s="1"/>
  <c r="U270" i="3"/>
  <c r="T270" i="3"/>
  <c r="P270" i="3"/>
  <c r="O270" i="3"/>
  <c r="S267" i="3"/>
  <c r="R267" i="3"/>
  <c r="Q267" i="3"/>
  <c r="O267" i="3"/>
  <c r="N267" i="3"/>
  <c r="M267" i="3"/>
  <c r="P267" i="3" s="1"/>
  <c r="L267" i="3"/>
  <c r="J265" i="3"/>
  <c r="K263" i="3"/>
  <c r="K262" i="3"/>
  <c r="I260" i="3"/>
  <c r="L258" i="3"/>
  <c r="L257" i="3"/>
  <c r="L256" i="3"/>
  <c r="L255" i="3"/>
  <c r="P254" i="3"/>
  <c r="N254" i="3"/>
  <c r="J253" i="3"/>
  <c r="K252" i="3"/>
  <c r="K251" i="3"/>
  <c r="I249" i="3"/>
  <c r="L247" i="3"/>
  <c r="L246" i="3"/>
  <c r="L245" i="3"/>
  <c r="L244" i="3"/>
  <c r="P243" i="3"/>
  <c r="N243" i="3"/>
  <c r="N232" i="3" s="1"/>
  <c r="J242" i="3"/>
  <c r="J231" i="3" s="1"/>
  <c r="K241" i="3"/>
  <c r="J241" i="3"/>
  <c r="I241" i="3"/>
  <c r="K240" i="3"/>
  <c r="J240" i="3"/>
  <c r="I240" i="3"/>
  <c r="J238" i="3"/>
  <c r="N236" i="3"/>
  <c r="N235" i="3"/>
  <c r="N234" i="3"/>
  <c r="N233" i="3"/>
  <c r="I230" i="3"/>
  <c r="I229" i="3"/>
  <c r="K229" i="3" s="1"/>
  <c r="I228" i="3"/>
  <c r="K228" i="3" s="1"/>
  <c r="L225" i="3"/>
  <c r="L224" i="3"/>
  <c r="L223" i="3"/>
  <c r="P222" i="3"/>
  <c r="N222" i="3"/>
  <c r="J221" i="3"/>
  <c r="I220" i="3"/>
  <c r="I219" i="3"/>
  <c r="K219" i="3" s="1"/>
  <c r="Q217" i="3"/>
  <c r="Q214" i="3" s="1"/>
  <c r="T214" i="3" s="1"/>
  <c r="L217" i="3"/>
  <c r="L216" i="3"/>
  <c r="L215" i="3"/>
  <c r="U214" i="3"/>
  <c r="S214" i="3"/>
  <c r="P214" i="3"/>
  <c r="N214" i="3"/>
  <c r="J213" i="3"/>
  <c r="I212" i="3"/>
  <c r="K212" i="3" s="1"/>
  <c r="I211" i="3"/>
  <c r="K211" i="3" s="1"/>
  <c r="I209" i="3"/>
  <c r="K209" i="3" s="1"/>
  <c r="L207" i="3"/>
  <c r="Q206" i="3"/>
  <c r="Q203" i="3" s="1"/>
  <c r="T203" i="3" s="1"/>
  <c r="L206" i="3"/>
  <c r="L205" i="3"/>
  <c r="L204" i="3"/>
  <c r="U203" i="3"/>
  <c r="S203" i="3"/>
  <c r="P203" i="3"/>
  <c r="N203" i="3"/>
  <c r="J202" i="3"/>
  <c r="J199" i="3"/>
  <c r="I198" i="3"/>
  <c r="I195" i="3" s="1"/>
  <c r="K195" i="3" s="1"/>
  <c r="P196" i="3"/>
  <c r="L196" i="3"/>
  <c r="O196" i="3" s="1"/>
  <c r="J195" i="3"/>
  <c r="S194" i="3"/>
  <c r="S192" i="3" s="1"/>
  <c r="R194" i="3"/>
  <c r="R192" i="3" s="1"/>
  <c r="U192" i="3" s="1"/>
  <c r="Q194" i="3"/>
  <c r="Q192" i="3" s="1"/>
  <c r="T192" i="3" s="1"/>
  <c r="N194" i="3"/>
  <c r="N192" i="3" s="1"/>
  <c r="M194" i="3"/>
  <c r="P194" i="3" s="1"/>
  <c r="L194" i="3"/>
  <c r="O194" i="3" s="1"/>
  <c r="U193" i="3"/>
  <c r="T193" i="3"/>
  <c r="P193" i="3"/>
  <c r="O193" i="3"/>
  <c r="S191" i="3"/>
  <c r="S189" i="3" s="1"/>
  <c r="R191" i="3"/>
  <c r="Q191" i="3"/>
  <c r="Q189" i="3" s="1"/>
  <c r="N191" i="3"/>
  <c r="M191" i="3"/>
  <c r="M189" i="3" s="1"/>
  <c r="L191" i="3"/>
  <c r="L189" i="3" s="1"/>
  <c r="U190" i="3"/>
  <c r="T190" i="3"/>
  <c r="P190" i="3"/>
  <c r="O190" i="3"/>
  <c r="T187" i="3"/>
  <c r="S187" i="3"/>
  <c r="R187" i="3"/>
  <c r="U187" i="3" s="1"/>
  <c r="Q187" i="3"/>
  <c r="O187" i="3"/>
  <c r="N187" i="3"/>
  <c r="M187" i="3"/>
  <c r="P187" i="3" s="1"/>
  <c r="L187" i="3"/>
  <c r="J185" i="3"/>
  <c r="K184" i="3"/>
  <c r="I183" i="3"/>
  <c r="U181" i="3"/>
  <c r="T181" i="3"/>
  <c r="N181" i="3"/>
  <c r="N179" i="3" s="1"/>
  <c r="M181" i="3"/>
  <c r="P181" i="3" s="1"/>
  <c r="L181" i="3"/>
  <c r="L179" i="3" s="1"/>
  <c r="O179" i="3" s="1"/>
  <c r="U180" i="3"/>
  <c r="T180" i="3"/>
  <c r="P180" i="3"/>
  <c r="O180" i="3"/>
  <c r="U179" i="3"/>
  <c r="T179" i="3"/>
  <c r="S179" i="3"/>
  <c r="R179" i="3"/>
  <c r="Q179" i="3"/>
  <c r="S178" i="3"/>
  <c r="S175" i="3" s="1"/>
  <c r="S173" i="3" s="1"/>
  <c r="R178" i="3"/>
  <c r="R176" i="3" s="1"/>
  <c r="U176" i="3" s="1"/>
  <c r="Q178" i="3"/>
  <c r="Q176" i="3" s="1"/>
  <c r="T176" i="3" s="1"/>
  <c r="N178" i="3"/>
  <c r="N176" i="3" s="1"/>
  <c r="M178" i="3"/>
  <c r="P178" i="3" s="1"/>
  <c r="L178" i="3"/>
  <c r="L176" i="3" s="1"/>
  <c r="O176" i="3" s="1"/>
  <c r="U177" i="3"/>
  <c r="T177" i="3"/>
  <c r="P177" i="3"/>
  <c r="O177" i="3"/>
  <c r="U174" i="3"/>
  <c r="S174" i="3"/>
  <c r="R174" i="3"/>
  <c r="Q174" i="3"/>
  <c r="P174" i="3"/>
  <c r="O174" i="3"/>
  <c r="N174" i="3"/>
  <c r="M174" i="3"/>
  <c r="L174" i="3"/>
  <c r="J172" i="3"/>
  <c r="I167" i="3"/>
  <c r="I168" i="3" s="1"/>
  <c r="K168" i="3" s="1"/>
  <c r="U165" i="3"/>
  <c r="T165" i="3"/>
  <c r="N165" i="3"/>
  <c r="N163" i="3" s="1"/>
  <c r="M165" i="3"/>
  <c r="P165" i="3" s="1"/>
  <c r="L165" i="3"/>
  <c r="L163" i="3" s="1"/>
  <c r="O163" i="3" s="1"/>
  <c r="U164" i="3"/>
  <c r="T164" i="3"/>
  <c r="P164" i="3"/>
  <c r="O164" i="3"/>
  <c r="U163" i="3"/>
  <c r="T163" i="3"/>
  <c r="S163" i="3"/>
  <c r="R163" i="3"/>
  <c r="Q163" i="3"/>
  <c r="S162" i="3"/>
  <c r="S160" i="3" s="1"/>
  <c r="R162" i="3"/>
  <c r="R160" i="3" s="1"/>
  <c r="U160" i="3" s="1"/>
  <c r="Q162" i="3"/>
  <c r="Q160" i="3" s="1"/>
  <c r="T160" i="3" s="1"/>
  <c r="N162" i="3"/>
  <c r="N160" i="3" s="1"/>
  <c r="M162" i="3"/>
  <c r="L162" i="3"/>
  <c r="L160" i="3" s="1"/>
  <c r="U161" i="3"/>
  <c r="T161" i="3"/>
  <c r="P161" i="3"/>
  <c r="O161" i="3"/>
  <c r="U158" i="3"/>
  <c r="S158" i="3"/>
  <c r="R158" i="3"/>
  <c r="Q158" i="3"/>
  <c r="P158" i="3"/>
  <c r="N158" i="3"/>
  <c r="M158" i="3"/>
  <c r="L158" i="3"/>
  <c r="J156" i="3"/>
  <c r="I154" i="3"/>
  <c r="I136" i="3" s="1"/>
  <c r="K136" i="3" s="1"/>
  <c r="I153" i="3"/>
  <c r="K153" i="3" s="1"/>
  <c r="I152" i="3"/>
  <c r="I137" i="3" s="1"/>
  <c r="K137" i="3" s="1"/>
  <c r="I151" i="3"/>
  <c r="K151" i="3" s="1"/>
  <c r="I150" i="3"/>
  <c r="K150" i="3" s="1"/>
  <c r="S147" i="3"/>
  <c r="S145" i="3" s="1"/>
  <c r="R147" i="3"/>
  <c r="R145" i="3" s="1"/>
  <c r="U145" i="3" s="1"/>
  <c r="Q147" i="3"/>
  <c r="T147" i="3" s="1"/>
  <c r="N147" i="3"/>
  <c r="N145" i="3" s="1"/>
  <c r="M147" i="3"/>
  <c r="L147" i="3"/>
  <c r="L145" i="3" s="1"/>
  <c r="O145" i="3" s="1"/>
  <c r="U146" i="3"/>
  <c r="T146" i="3"/>
  <c r="P146" i="3"/>
  <c r="O146" i="3"/>
  <c r="S144" i="3"/>
  <c r="S142" i="3" s="1"/>
  <c r="R144" i="3"/>
  <c r="Q144" i="3"/>
  <c r="N144" i="3"/>
  <c r="N142" i="3" s="1"/>
  <c r="M144" i="3"/>
  <c r="L144" i="3"/>
  <c r="L142" i="3" s="1"/>
  <c r="U143" i="3"/>
  <c r="T143" i="3"/>
  <c r="P143" i="3"/>
  <c r="O143" i="3"/>
  <c r="S140" i="3"/>
  <c r="R140" i="3"/>
  <c r="Q140" i="3"/>
  <c r="T140" i="3" s="1"/>
  <c r="N140" i="3"/>
  <c r="M140" i="3"/>
  <c r="L140" i="3"/>
  <c r="J138" i="3"/>
  <c r="J137" i="3"/>
  <c r="J136" i="3"/>
  <c r="I130" i="3"/>
  <c r="K130" i="3" s="1"/>
  <c r="I129" i="3"/>
  <c r="K129" i="3" s="1"/>
  <c r="I128" i="3"/>
  <c r="K128" i="3" s="1"/>
  <c r="I127" i="3"/>
  <c r="I116" i="3" s="1"/>
  <c r="S125" i="3"/>
  <c r="R125" i="3"/>
  <c r="Q125" i="3"/>
  <c r="Q123" i="3" s="1"/>
  <c r="T123" i="3" s="1"/>
  <c r="N125" i="3"/>
  <c r="N123" i="3" s="1"/>
  <c r="M125" i="3"/>
  <c r="P125" i="3" s="1"/>
  <c r="L125" i="3"/>
  <c r="U124" i="3"/>
  <c r="T124" i="3"/>
  <c r="P124" i="3"/>
  <c r="O124" i="3"/>
  <c r="S122" i="3"/>
  <c r="R122" i="3"/>
  <c r="Q122" i="3"/>
  <c r="Q120" i="3" s="1"/>
  <c r="N122" i="3"/>
  <c r="N120" i="3" s="1"/>
  <c r="M122" i="3"/>
  <c r="P122" i="3" s="1"/>
  <c r="L122" i="3"/>
  <c r="U121" i="3"/>
  <c r="T121" i="3"/>
  <c r="P121" i="3"/>
  <c r="O121" i="3"/>
  <c r="T118" i="3"/>
  <c r="S118" i="3"/>
  <c r="R118" i="3"/>
  <c r="Q118" i="3"/>
  <c r="P118" i="3"/>
  <c r="N118" i="3"/>
  <c r="M118" i="3"/>
  <c r="L118" i="3"/>
  <c r="J116" i="3"/>
  <c r="I114" i="3"/>
  <c r="K114" i="3" s="1"/>
  <c r="I113" i="3"/>
  <c r="K113" i="3" s="1"/>
  <c r="I109" i="3"/>
  <c r="K109" i="3" s="1"/>
  <c r="I108" i="3"/>
  <c r="K108" i="3" s="1"/>
  <c r="U102" i="3"/>
  <c r="T102" i="3"/>
  <c r="N102" i="3"/>
  <c r="N100" i="3" s="1"/>
  <c r="M102" i="3"/>
  <c r="M100" i="3" s="1"/>
  <c r="P100" i="3" s="1"/>
  <c r="L102" i="3"/>
  <c r="O102" i="3" s="1"/>
  <c r="U101" i="3"/>
  <c r="T101" i="3"/>
  <c r="P101" i="3"/>
  <c r="O101" i="3"/>
  <c r="T100" i="3"/>
  <c r="S100" i="3"/>
  <c r="R100" i="3"/>
  <c r="U100" i="3" s="1"/>
  <c r="Q100" i="3"/>
  <c r="S99" i="3"/>
  <c r="S97" i="3" s="1"/>
  <c r="R99" i="3"/>
  <c r="Q99" i="3"/>
  <c r="Q97" i="3" s="1"/>
  <c r="N99" i="3"/>
  <c r="N97" i="3" s="1"/>
  <c r="M99" i="3"/>
  <c r="M97" i="3" s="1"/>
  <c r="L99" i="3"/>
  <c r="L97" i="3" s="1"/>
  <c r="U98" i="3"/>
  <c r="T98" i="3"/>
  <c r="P98" i="3"/>
  <c r="O98" i="3"/>
  <c r="T95" i="3"/>
  <c r="S95" i="3"/>
  <c r="R95" i="3"/>
  <c r="U95" i="3" s="1"/>
  <c r="Q95" i="3"/>
  <c r="P95" i="3"/>
  <c r="N95" i="3"/>
  <c r="M95" i="3"/>
  <c r="L95" i="3"/>
  <c r="O95" i="3" s="1"/>
  <c r="J93" i="3"/>
  <c r="J92" i="3"/>
  <c r="I90" i="3"/>
  <c r="K90" i="3" s="1"/>
  <c r="I89" i="3"/>
  <c r="K89" i="3" s="1"/>
  <c r="I88" i="3"/>
  <c r="K88" i="3" s="1"/>
  <c r="I87" i="3"/>
  <c r="K87" i="3" s="1"/>
  <c r="I86" i="3"/>
  <c r="I85" i="3"/>
  <c r="I84" i="3"/>
  <c r="K84" i="3" s="1"/>
  <c r="J83" i="3"/>
  <c r="J82" i="3"/>
  <c r="S80" i="3"/>
  <c r="S78" i="3" s="1"/>
  <c r="R80" i="3"/>
  <c r="Q80" i="3"/>
  <c r="T80" i="3" s="1"/>
  <c r="N80" i="3"/>
  <c r="N78" i="3" s="1"/>
  <c r="M80" i="3"/>
  <c r="M78" i="3" s="1"/>
  <c r="P78" i="3" s="1"/>
  <c r="L80" i="3"/>
  <c r="U79" i="3"/>
  <c r="T79" i="3"/>
  <c r="P79" i="3"/>
  <c r="O79" i="3"/>
  <c r="S77" i="3"/>
  <c r="S75" i="3" s="1"/>
  <c r="R77" i="3"/>
  <c r="Q77" i="3"/>
  <c r="Q75" i="3" s="1"/>
  <c r="N77" i="3"/>
  <c r="N75" i="3" s="1"/>
  <c r="M77" i="3"/>
  <c r="M75" i="3" s="1"/>
  <c r="L77" i="3"/>
  <c r="U76" i="3"/>
  <c r="T76" i="3"/>
  <c r="P76" i="3"/>
  <c r="O76" i="3"/>
  <c r="T73" i="3"/>
  <c r="S73" i="3"/>
  <c r="R73" i="3"/>
  <c r="U73" i="3" s="1"/>
  <c r="Q73" i="3"/>
  <c r="P73" i="3"/>
  <c r="N73" i="3"/>
  <c r="M73" i="3"/>
  <c r="L73" i="3"/>
  <c r="O73" i="3" s="1"/>
  <c r="J71" i="3"/>
  <c r="J70" i="3"/>
  <c r="U67" i="3"/>
  <c r="T67" i="3"/>
  <c r="N67" i="3"/>
  <c r="N65" i="3" s="1"/>
  <c r="M67" i="3"/>
  <c r="L67" i="3"/>
  <c r="L65" i="3" s="1"/>
  <c r="U66" i="3"/>
  <c r="T66" i="3"/>
  <c r="P66" i="3"/>
  <c r="O66" i="3"/>
  <c r="U65" i="3"/>
  <c r="S65" i="3"/>
  <c r="R65" i="3"/>
  <c r="Q65" i="3"/>
  <c r="T65" i="3" s="1"/>
  <c r="U64" i="3"/>
  <c r="T64" i="3"/>
  <c r="N64" i="3"/>
  <c r="M64" i="3"/>
  <c r="M62" i="3" s="1"/>
  <c r="L64" i="3"/>
  <c r="U63" i="3"/>
  <c r="T63" i="3"/>
  <c r="P63" i="3"/>
  <c r="O63" i="3"/>
  <c r="T62" i="3"/>
  <c r="S62" i="3"/>
  <c r="R62" i="3"/>
  <c r="U62" i="3" s="1"/>
  <c r="Q62" i="3"/>
  <c r="T61" i="3"/>
  <c r="S61" i="3"/>
  <c r="R61" i="3"/>
  <c r="U61" i="3" s="1"/>
  <c r="Q61" i="3"/>
  <c r="T60" i="3"/>
  <c r="S60" i="3"/>
  <c r="S59" i="3" s="1"/>
  <c r="R60" i="3"/>
  <c r="U60" i="3" s="1"/>
  <c r="Q60" i="3"/>
  <c r="P60" i="3"/>
  <c r="N60" i="3"/>
  <c r="M60" i="3"/>
  <c r="L60" i="3"/>
  <c r="O60" i="3" s="1"/>
  <c r="T59" i="3"/>
  <c r="Q59" i="3"/>
  <c r="U52" i="3"/>
  <c r="T52" i="3"/>
  <c r="N52" i="3"/>
  <c r="N50" i="3" s="1"/>
  <c r="M52" i="3"/>
  <c r="P52" i="3" s="1"/>
  <c r="L52" i="3"/>
  <c r="L50" i="3" s="1"/>
  <c r="O50" i="3" s="1"/>
  <c r="U51" i="3"/>
  <c r="T51" i="3"/>
  <c r="P51" i="3"/>
  <c r="O51" i="3"/>
  <c r="U50" i="3"/>
  <c r="S50" i="3"/>
  <c r="R50" i="3"/>
  <c r="Q50" i="3"/>
  <c r="T50" i="3" s="1"/>
  <c r="U49" i="3"/>
  <c r="T49" i="3"/>
  <c r="N49" i="3"/>
  <c r="M49" i="3"/>
  <c r="M47" i="3" s="1"/>
  <c r="L49" i="3"/>
  <c r="U48" i="3"/>
  <c r="T48" i="3"/>
  <c r="P48" i="3"/>
  <c r="O48" i="3"/>
  <c r="T47" i="3"/>
  <c r="S47" i="3"/>
  <c r="R47" i="3"/>
  <c r="U47" i="3" s="1"/>
  <c r="Q47" i="3"/>
  <c r="T46" i="3"/>
  <c r="S46" i="3"/>
  <c r="R46" i="3"/>
  <c r="U46" i="3" s="1"/>
  <c r="Q46" i="3"/>
  <c r="T45" i="3"/>
  <c r="S45" i="3"/>
  <c r="S44" i="3" s="1"/>
  <c r="R45" i="3"/>
  <c r="U45" i="3" s="1"/>
  <c r="Q45" i="3"/>
  <c r="P45" i="3"/>
  <c r="N45" i="3"/>
  <c r="M45" i="3"/>
  <c r="L45" i="3"/>
  <c r="O45" i="3" s="1"/>
  <c r="T44" i="3"/>
  <c r="Q44" i="3"/>
  <c r="U25" i="3"/>
  <c r="S25" i="3"/>
  <c r="R25" i="3"/>
  <c r="Q25" i="3"/>
  <c r="T25" i="3" s="1"/>
  <c r="O25" i="3"/>
  <c r="N25" i="3"/>
  <c r="M25" i="3"/>
  <c r="P25" i="3" s="1"/>
  <c r="L25" i="3"/>
  <c r="U22" i="3"/>
  <c r="S22" i="3"/>
  <c r="R22" i="3"/>
  <c r="Q22" i="3"/>
  <c r="T22" i="3" s="1"/>
  <c r="O22" i="3"/>
  <c r="N22" i="3"/>
  <c r="M22" i="3"/>
  <c r="P22" i="3" s="1"/>
  <c r="L22" i="3"/>
  <c r="U19" i="3"/>
  <c r="S19" i="3"/>
  <c r="R19" i="3"/>
  <c r="Q19" i="3"/>
  <c r="T19" i="3" s="1"/>
  <c r="O19" i="3"/>
  <c r="N19" i="3"/>
  <c r="M19" i="3"/>
  <c r="P19" i="3" s="1"/>
  <c r="L19" i="3"/>
  <c r="A789" i="2"/>
  <c r="A788" i="2"/>
  <c r="J785" i="2"/>
  <c r="I785" i="2"/>
  <c r="J784" i="2"/>
  <c r="I784" i="2"/>
  <c r="J783" i="2"/>
  <c r="I783" i="2"/>
  <c r="K783" i="2" s="1"/>
  <c r="J782" i="2"/>
  <c r="I782" i="2"/>
  <c r="K782" i="2" s="1"/>
  <c r="J781" i="2"/>
  <c r="I781" i="2"/>
  <c r="J780" i="2"/>
  <c r="I780" i="2"/>
  <c r="J779" i="2"/>
  <c r="I779" i="2"/>
  <c r="J778" i="2"/>
  <c r="I778" i="2"/>
  <c r="H777" i="2"/>
  <c r="I776" i="2"/>
  <c r="I775" i="2"/>
  <c r="I774" i="2"/>
  <c r="I772" i="2"/>
  <c r="K772" i="2" s="1"/>
  <c r="I770" i="2"/>
  <c r="K770" i="2" s="1"/>
  <c r="U768" i="2"/>
  <c r="T768" i="2"/>
  <c r="P768" i="2"/>
  <c r="O768" i="2"/>
  <c r="U767" i="2"/>
  <c r="T767" i="2"/>
  <c r="P767" i="2"/>
  <c r="O767" i="2"/>
  <c r="U766" i="2"/>
  <c r="S766" i="2"/>
  <c r="R766" i="2"/>
  <c r="Q766" i="2"/>
  <c r="T766" i="2" s="1"/>
  <c r="P766" i="2"/>
  <c r="O766" i="2"/>
  <c r="N766" i="2"/>
  <c r="M766" i="2"/>
  <c r="L766" i="2"/>
  <c r="S765" i="2"/>
  <c r="R765" i="2"/>
  <c r="R763" i="2" s="1"/>
  <c r="Q765" i="2"/>
  <c r="Q763" i="2" s="1"/>
  <c r="P765" i="2"/>
  <c r="O765" i="2"/>
  <c r="U764" i="2"/>
  <c r="T764" i="2"/>
  <c r="P764" i="2"/>
  <c r="O764" i="2"/>
  <c r="N763" i="2"/>
  <c r="M763" i="2"/>
  <c r="P763" i="2" s="1"/>
  <c r="L763" i="2"/>
  <c r="O763" i="2" s="1"/>
  <c r="P762" i="2"/>
  <c r="N762" i="2"/>
  <c r="M762" i="2"/>
  <c r="L762" i="2"/>
  <c r="U761" i="2"/>
  <c r="T761" i="2"/>
  <c r="S761" i="2"/>
  <c r="R761" i="2"/>
  <c r="Q761" i="2"/>
  <c r="P761" i="2"/>
  <c r="O761" i="2"/>
  <c r="N761" i="2"/>
  <c r="M761" i="2"/>
  <c r="L761" i="2"/>
  <c r="N760" i="2"/>
  <c r="M760" i="2"/>
  <c r="P760" i="2" s="1"/>
  <c r="J759" i="2"/>
  <c r="J758" i="2"/>
  <c r="I755" i="2"/>
  <c r="K755" i="2" s="1"/>
  <c r="I752" i="2"/>
  <c r="K752" i="2" s="1"/>
  <c r="I749" i="2"/>
  <c r="K749" i="2" s="1"/>
  <c r="I746" i="2"/>
  <c r="K746" i="2" s="1"/>
  <c r="I744" i="2"/>
  <c r="K744" i="2" s="1"/>
  <c r="I742" i="2"/>
  <c r="K742" i="2" s="1"/>
  <c r="I740" i="2"/>
  <c r="K740" i="2" s="1"/>
  <c r="U736" i="2"/>
  <c r="T736" i="2"/>
  <c r="P736" i="2"/>
  <c r="O736" i="2"/>
  <c r="U735" i="2"/>
  <c r="T735" i="2"/>
  <c r="P735" i="2"/>
  <c r="O735" i="2"/>
  <c r="U734" i="2"/>
  <c r="T734" i="2"/>
  <c r="S734" i="2"/>
  <c r="R734" i="2"/>
  <c r="Q734" i="2"/>
  <c r="P734" i="2"/>
  <c r="O734" i="2"/>
  <c r="N734" i="2"/>
  <c r="M734" i="2"/>
  <c r="L734" i="2"/>
  <c r="S733" i="2"/>
  <c r="S730" i="2" s="1"/>
  <c r="S728" i="2" s="1"/>
  <c r="R733" i="2"/>
  <c r="R731" i="2" s="1"/>
  <c r="Q733" i="2"/>
  <c r="Q730" i="2" s="1"/>
  <c r="P733" i="2"/>
  <c r="O733" i="2"/>
  <c r="U732" i="2"/>
  <c r="T732" i="2"/>
  <c r="P732" i="2"/>
  <c r="O732" i="2"/>
  <c r="N731" i="2"/>
  <c r="M731" i="2"/>
  <c r="P731" i="2" s="1"/>
  <c r="L731" i="2"/>
  <c r="O731" i="2" s="1"/>
  <c r="P730" i="2"/>
  <c r="O730" i="2"/>
  <c r="N730" i="2"/>
  <c r="M730" i="2"/>
  <c r="L730" i="2"/>
  <c r="U729" i="2"/>
  <c r="T729" i="2"/>
  <c r="S729" i="2"/>
  <c r="R729" i="2"/>
  <c r="Q729" i="2"/>
  <c r="O729" i="2"/>
  <c r="N729" i="2"/>
  <c r="N728" i="2" s="1"/>
  <c r="M729" i="2"/>
  <c r="P729" i="2" s="1"/>
  <c r="L729" i="2"/>
  <c r="M728" i="2"/>
  <c r="P728" i="2" s="1"/>
  <c r="L728" i="2"/>
  <c r="O728" i="2" s="1"/>
  <c r="J727" i="2"/>
  <c r="I727" i="2"/>
  <c r="K727" i="2" s="1"/>
  <c r="J726" i="2"/>
  <c r="I726" i="2"/>
  <c r="U722" i="2"/>
  <c r="T722" i="2"/>
  <c r="P722" i="2"/>
  <c r="O722" i="2"/>
  <c r="U721" i="2"/>
  <c r="T721" i="2"/>
  <c r="P721" i="2"/>
  <c r="O721" i="2"/>
  <c r="S720" i="2"/>
  <c r="R720" i="2"/>
  <c r="U720" i="2" s="1"/>
  <c r="Q720" i="2"/>
  <c r="T720" i="2" s="1"/>
  <c r="N720" i="2"/>
  <c r="M720" i="2"/>
  <c r="P720" i="2" s="1"/>
  <c r="L720" i="2"/>
  <c r="O720" i="2" s="1"/>
  <c r="U719" i="2"/>
  <c r="T719" i="2"/>
  <c r="P719" i="2"/>
  <c r="O719" i="2"/>
  <c r="U718" i="2"/>
  <c r="T718" i="2"/>
  <c r="P718" i="2"/>
  <c r="O718" i="2"/>
  <c r="S717" i="2"/>
  <c r="R717" i="2"/>
  <c r="U717" i="2" s="1"/>
  <c r="Q717" i="2"/>
  <c r="T717" i="2" s="1"/>
  <c r="N717" i="2"/>
  <c r="M717" i="2"/>
  <c r="P717" i="2" s="1"/>
  <c r="L717" i="2"/>
  <c r="O717" i="2" s="1"/>
  <c r="U716" i="2"/>
  <c r="S716" i="2"/>
  <c r="R716" i="2"/>
  <c r="Q716" i="2"/>
  <c r="P716" i="2"/>
  <c r="O716" i="2"/>
  <c r="N716" i="2"/>
  <c r="M716" i="2"/>
  <c r="L716" i="2"/>
  <c r="U715" i="2"/>
  <c r="T715" i="2"/>
  <c r="S715" i="2"/>
  <c r="R715" i="2"/>
  <c r="Q715" i="2"/>
  <c r="O715" i="2"/>
  <c r="N715" i="2"/>
  <c r="N714" i="2" s="1"/>
  <c r="M715" i="2"/>
  <c r="P715" i="2" s="1"/>
  <c r="L715" i="2"/>
  <c r="S714" i="2"/>
  <c r="R714" i="2"/>
  <c r="U714" i="2" s="1"/>
  <c r="M714" i="2"/>
  <c r="P714" i="2" s="1"/>
  <c r="L714" i="2"/>
  <c r="O714" i="2" s="1"/>
  <c r="K712" i="2"/>
  <c r="J712" i="2"/>
  <c r="K710" i="2"/>
  <c r="J710" i="2"/>
  <c r="J709" i="2"/>
  <c r="I709" i="2"/>
  <c r="K708" i="2"/>
  <c r="J708" i="2"/>
  <c r="J707" i="2"/>
  <c r="I707" i="2"/>
  <c r="K707" i="2" s="1"/>
  <c r="K706" i="2"/>
  <c r="J706" i="2"/>
  <c r="J705" i="2"/>
  <c r="I705" i="2"/>
  <c r="K704" i="2"/>
  <c r="J704" i="2"/>
  <c r="J703" i="2"/>
  <c r="I703" i="2"/>
  <c r="K703" i="2" s="1"/>
  <c r="K702" i="2"/>
  <c r="I700" i="2"/>
  <c r="K700" i="2" s="1"/>
  <c r="U698" i="2"/>
  <c r="T698" i="2"/>
  <c r="P698" i="2"/>
  <c r="O698" i="2"/>
  <c r="U697" i="2"/>
  <c r="T697" i="2"/>
  <c r="P697" i="2"/>
  <c r="O697" i="2"/>
  <c r="S696" i="2"/>
  <c r="R696" i="2"/>
  <c r="U696" i="2" s="1"/>
  <c r="Q696" i="2"/>
  <c r="T696" i="2" s="1"/>
  <c r="P696" i="2"/>
  <c r="N696" i="2"/>
  <c r="M696" i="2"/>
  <c r="L696" i="2"/>
  <c r="O696" i="2" s="1"/>
  <c r="S695" i="2"/>
  <c r="S692" i="2" s="1"/>
  <c r="S690" i="2" s="1"/>
  <c r="R695" i="2"/>
  <c r="Q695" i="2"/>
  <c r="Q693" i="2" s="1"/>
  <c r="P695" i="2"/>
  <c r="O695" i="2"/>
  <c r="U694" i="2"/>
  <c r="T694" i="2"/>
  <c r="P694" i="2"/>
  <c r="O694" i="2"/>
  <c r="O693" i="2"/>
  <c r="N693" i="2"/>
  <c r="M693" i="2"/>
  <c r="P693" i="2" s="1"/>
  <c r="L693" i="2"/>
  <c r="N692" i="2"/>
  <c r="M692" i="2"/>
  <c r="L692" i="2"/>
  <c r="L690" i="2" s="1"/>
  <c r="O690" i="2" s="1"/>
  <c r="U691" i="2"/>
  <c r="S691" i="2"/>
  <c r="R691" i="2"/>
  <c r="Q691" i="2"/>
  <c r="P691" i="2"/>
  <c r="O691" i="2"/>
  <c r="N691" i="2"/>
  <c r="M691" i="2"/>
  <c r="L691" i="2"/>
  <c r="N690" i="2"/>
  <c r="J682" i="2"/>
  <c r="I682" i="2"/>
  <c r="K682" i="2" s="1"/>
  <c r="J681" i="2"/>
  <c r="I681" i="2"/>
  <c r="K681" i="2" s="1"/>
  <c r="J680" i="2"/>
  <c r="J679" i="2"/>
  <c r="I679" i="2"/>
  <c r="K679" i="2" s="1"/>
  <c r="J678" i="2"/>
  <c r="I678" i="2"/>
  <c r="K678" i="2" s="1"/>
  <c r="J677" i="2"/>
  <c r="J676" i="2"/>
  <c r="I676" i="2"/>
  <c r="K676" i="2" s="1"/>
  <c r="I675" i="2"/>
  <c r="K675" i="2" s="1"/>
  <c r="I674" i="2"/>
  <c r="K674" i="2" s="1"/>
  <c r="J673" i="2"/>
  <c r="I673" i="2"/>
  <c r="K673" i="2" s="1"/>
  <c r="J672" i="2"/>
  <c r="J671" i="2"/>
  <c r="J661" i="2"/>
  <c r="I661" i="2"/>
  <c r="K661" i="2" s="1"/>
  <c r="I660" i="2"/>
  <c r="I657" i="2"/>
  <c r="J654" i="2"/>
  <c r="I654" i="2"/>
  <c r="K654" i="2" s="1"/>
  <c r="J653" i="2"/>
  <c r="I653" i="2"/>
  <c r="K653" i="2" s="1"/>
  <c r="J652" i="2"/>
  <c r="I652" i="2"/>
  <c r="K652" i="2" s="1"/>
  <c r="U650" i="2"/>
  <c r="T650" i="2"/>
  <c r="P650" i="2"/>
  <c r="O650" i="2"/>
  <c r="U649" i="2"/>
  <c r="T649" i="2"/>
  <c r="P649" i="2"/>
  <c r="O649" i="2"/>
  <c r="S648" i="2"/>
  <c r="R648" i="2"/>
  <c r="U648" i="2" s="1"/>
  <c r="Q648" i="2"/>
  <c r="T648" i="2" s="1"/>
  <c r="P648" i="2"/>
  <c r="N648" i="2"/>
  <c r="M648" i="2"/>
  <c r="L648" i="2"/>
  <c r="O648" i="2" s="1"/>
  <c r="S647" i="2"/>
  <c r="S645" i="2" s="1"/>
  <c r="R647" i="2"/>
  <c r="U647" i="2" s="1"/>
  <c r="Q647" i="2"/>
  <c r="Q645" i="2" s="1"/>
  <c r="T645" i="2" s="1"/>
  <c r="P647" i="2"/>
  <c r="O647" i="2"/>
  <c r="U646" i="2"/>
  <c r="T646" i="2"/>
  <c r="P646" i="2"/>
  <c r="O646" i="2"/>
  <c r="O645" i="2"/>
  <c r="N645" i="2"/>
  <c r="M645" i="2"/>
  <c r="P645" i="2" s="1"/>
  <c r="L645" i="2"/>
  <c r="N644" i="2"/>
  <c r="M644" i="2"/>
  <c r="L644" i="2"/>
  <c r="L642" i="2" s="1"/>
  <c r="O642" i="2" s="1"/>
  <c r="U643" i="2"/>
  <c r="S643" i="2"/>
  <c r="R643" i="2"/>
  <c r="Q643" i="2"/>
  <c r="P643" i="2"/>
  <c r="O643" i="2"/>
  <c r="N643" i="2"/>
  <c r="M643" i="2"/>
  <c r="L643" i="2"/>
  <c r="N642" i="2"/>
  <c r="J636" i="2"/>
  <c r="J635" i="2"/>
  <c r="I635" i="2"/>
  <c r="K635" i="2" s="1"/>
  <c r="J632" i="2"/>
  <c r="I628" i="2"/>
  <c r="K628" i="2" s="1"/>
  <c r="I627" i="2"/>
  <c r="K627" i="2" s="1"/>
  <c r="J626" i="2"/>
  <c r="J615" i="2" s="1"/>
  <c r="I626" i="2"/>
  <c r="K631" i="2" s="1"/>
  <c r="U624" i="2"/>
  <c r="T624" i="2"/>
  <c r="P624" i="2"/>
  <c r="O624" i="2"/>
  <c r="U623" i="2"/>
  <c r="T623" i="2"/>
  <c r="P623" i="2"/>
  <c r="O623" i="2"/>
  <c r="S622" i="2"/>
  <c r="R622" i="2"/>
  <c r="U622" i="2" s="1"/>
  <c r="Q622" i="2"/>
  <c r="T622" i="2" s="1"/>
  <c r="N622" i="2"/>
  <c r="M622" i="2"/>
  <c r="P622" i="2" s="1"/>
  <c r="L622" i="2"/>
  <c r="O622" i="2" s="1"/>
  <c r="S621" i="2"/>
  <c r="R621" i="2"/>
  <c r="R619" i="2" s="1"/>
  <c r="Q621" i="2"/>
  <c r="P621" i="2"/>
  <c r="O621" i="2"/>
  <c r="U620" i="2"/>
  <c r="T620" i="2"/>
  <c r="P620" i="2"/>
  <c r="O620" i="2"/>
  <c r="P619" i="2"/>
  <c r="O619" i="2"/>
  <c r="N619" i="2"/>
  <c r="M619" i="2"/>
  <c r="L619" i="2"/>
  <c r="N618" i="2"/>
  <c r="N616" i="2" s="1"/>
  <c r="M618" i="2"/>
  <c r="M616" i="2" s="1"/>
  <c r="L618" i="2"/>
  <c r="O618" i="2" s="1"/>
  <c r="S617" i="2"/>
  <c r="R617" i="2"/>
  <c r="Q617" i="2"/>
  <c r="T617" i="2" s="1"/>
  <c r="P617" i="2"/>
  <c r="N617" i="2"/>
  <c r="M617" i="2"/>
  <c r="L617" i="2"/>
  <c r="P616" i="2"/>
  <c r="S607" i="2"/>
  <c r="R607" i="2"/>
  <c r="R605" i="2" s="1"/>
  <c r="U605" i="2" s="1"/>
  <c r="Q607" i="2"/>
  <c r="N607" i="2"/>
  <c r="N605" i="2" s="1"/>
  <c r="M607" i="2"/>
  <c r="L607" i="2"/>
  <c r="O607" i="2" s="1"/>
  <c r="U606" i="2"/>
  <c r="T606" i="2"/>
  <c r="P606" i="2"/>
  <c r="O606" i="2"/>
  <c r="S604" i="2"/>
  <c r="S602" i="2" s="1"/>
  <c r="R604" i="2"/>
  <c r="Q604" i="2"/>
  <c r="N604" i="2"/>
  <c r="N602" i="2" s="1"/>
  <c r="M604" i="2"/>
  <c r="M602" i="2" s="1"/>
  <c r="P602" i="2" s="1"/>
  <c r="L604" i="2"/>
  <c r="U603" i="2"/>
  <c r="T603" i="2"/>
  <c r="P603" i="2"/>
  <c r="O603" i="2"/>
  <c r="U600" i="2"/>
  <c r="T600" i="2"/>
  <c r="S600" i="2"/>
  <c r="R600" i="2"/>
  <c r="Q600" i="2"/>
  <c r="O600" i="2"/>
  <c r="N600" i="2"/>
  <c r="M600" i="2"/>
  <c r="P600" i="2" s="1"/>
  <c r="L600" i="2"/>
  <c r="K587" i="2"/>
  <c r="K586" i="2"/>
  <c r="U584" i="2"/>
  <c r="T584" i="2"/>
  <c r="N584" i="2"/>
  <c r="N582" i="2" s="1"/>
  <c r="M584" i="2"/>
  <c r="M582" i="2" s="1"/>
  <c r="P582" i="2" s="1"/>
  <c r="L584" i="2"/>
  <c r="L582" i="2" s="1"/>
  <c r="O582" i="2" s="1"/>
  <c r="U583" i="2"/>
  <c r="T583" i="2"/>
  <c r="P583" i="2"/>
  <c r="O583" i="2"/>
  <c r="S582" i="2"/>
  <c r="R582" i="2"/>
  <c r="U582" i="2" s="1"/>
  <c r="Q582" i="2"/>
  <c r="T582" i="2" s="1"/>
  <c r="U581" i="2"/>
  <c r="T581" i="2"/>
  <c r="N581" i="2"/>
  <c r="N579" i="2" s="1"/>
  <c r="M581" i="2"/>
  <c r="M578" i="2" s="1"/>
  <c r="L581" i="2"/>
  <c r="U580" i="2"/>
  <c r="T580" i="2"/>
  <c r="P580" i="2"/>
  <c r="O580" i="2"/>
  <c r="U579" i="2"/>
  <c r="T579" i="2"/>
  <c r="S579" i="2"/>
  <c r="R579" i="2"/>
  <c r="Q579" i="2"/>
  <c r="S578" i="2"/>
  <c r="S576" i="2" s="1"/>
  <c r="R578" i="2"/>
  <c r="Q578" i="2"/>
  <c r="T578" i="2" s="1"/>
  <c r="U577" i="2"/>
  <c r="S577" i="2"/>
  <c r="R577" i="2"/>
  <c r="Q577" i="2"/>
  <c r="P577" i="2"/>
  <c r="O577" i="2"/>
  <c r="N577" i="2"/>
  <c r="M577" i="2"/>
  <c r="L577" i="2"/>
  <c r="J575" i="2"/>
  <c r="I575" i="2"/>
  <c r="K575" i="2" s="1"/>
  <c r="U563" i="2"/>
  <c r="T563" i="2"/>
  <c r="N563" i="2"/>
  <c r="N561" i="2" s="1"/>
  <c r="M563" i="2"/>
  <c r="L563" i="2"/>
  <c r="U562" i="2"/>
  <c r="T562" i="2"/>
  <c r="P562" i="2"/>
  <c r="O562" i="2"/>
  <c r="U561" i="2"/>
  <c r="T561" i="2"/>
  <c r="S561" i="2"/>
  <c r="R561" i="2"/>
  <c r="Q561" i="2"/>
  <c r="U560" i="2"/>
  <c r="T560" i="2"/>
  <c r="N560" i="2"/>
  <c r="N558" i="2" s="1"/>
  <c r="M560" i="2"/>
  <c r="M558" i="2" s="1"/>
  <c r="L560" i="2"/>
  <c r="L558" i="2" s="1"/>
  <c r="O558" i="2" s="1"/>
  <c r="U559" i="2"/>
  <c r="T559" i="2"/>
  <c r="P559" i="2"/>
  <c r="O559" i="2"/>
  <c r="S558" i="2"/>
  <c r="R558" i="2"/>
  <c r="U558" i="2" s="1"/>
  <c r="Q558" i="2"/>
  <c r="T558" i="2" s="1"/>
  <c r="U557" i="2"/>
  <c r="T557" i="2"/>
  <c r="S557" i="2"/>
  <c r="R557" i="2"/>
  <c r="Q557" i="2"/>
  <c r="T556" i="2"/>
  <c r="S556" i="2"/>
  <c r="S555" i="2" s="1"/>
  <c r="R556" i="2"/>
  <c r="U556" i="2" s="1"/>
  <c r="Q556" i="2"/>
  <c r="N556" i="2"/>
  <c r="M556" i="2"/>
  <c r="L556" i="2"/>
  <c r="O556" i="2" s="1"/>
  <c r="R555" i="2"/>
  <c r="U555" i="2" s="1"/>
  <c r="Q555" i="2"/>
  <c r="T555" i="2" s="1"/>
  <c r="K554" i="2"/>
  <c r="J554" i="2"/>
  <c r="I554" i="2"/>
  <c r="U542" i="2"/>
  <c r="T542" i="2"/>
  <c r="N542" i="2"/>
  <c r="N540" i="2" s="1"/>
  <c r="M542" i="2"/>
  <c r="M540" i="2" s="1"/>
  <c r="P540" i="2" s="1"/>
  <c r="L542" i="2"/>
  <c r="U541" i="2"/>
  <c r="T541" i="2"/>
  <c r="P541" i="2"/>
  <c r="O541" i="2"/>
  <c r="S540" i="2"/>
  <c r="R540" i="2"/>
  <c r="U540" i="2" s="1"/>
  <c r="Q540" i="2"/>
  <c r="T540" i="2" s="1"/>
  <c r="U539" i="2"/>
  <c r="T539" i="2"/>
  <c r="N539" i="2"/>
  <c r="N537" i="2" s="1"/>
  <c r="M539" i="2"/>
  <c r="M536" i="2" s="1"/>
  <c r="L539" i="2"/>
  <c r="U538" i="2"/>
  <c r="T538" i="2"/>
  <c r="P538" i="2"/>
  <c r="O538" i="2"/>
  <c r="U537" i="2"/>
  <c r="T537" i="2"/>
  <c r="S537" i="2"/>
  <c r="R537" i="2"/>
  <c r="Q537" i="2"/>
  <c r="S536" i="2"/>
  <c r="S534" i="2" s="1"/>
  <c r="R536" i="2"/>
  <c r="Q536" i="2"/>
  <c r="T536" i="2" s="1"/>
  <c r="U535" i="2"/>
  <c r="S535" i="2"/>
  <c r="R535" i="2"/>
  <c r="Q535" i="2"/>
  <c r="P535" i="2"/>
  <c r="O535" i="2"/>
  <c r="N535" i="2"/>
  <c r="M535" i="2"/>
  <c r="L535" i="2"/>
  <c r="J533" i="2"/>
  <c r="I533" i="2"/>
  <c r="K533" i="2" s="1"/>
  <c r="K524" i="2"/>
  <c r="K523" i="2"/>
  <c r="U521" i="2"/>
  <c r="T521" i="2"/>
  <c r="N521" i="2"/>
  <c r="M521" i="2"/>
  <c r="L521" i="2"/>
  <c r="U520" i="2"/>
  <c r="T520" i="2"/>
  <c r="P520" i="2"/>
  <c r="O520" i="2"/>
  <c r="U519" i="2"/>
  <c r="S519" i="2"/>
  <c r="R519" i="2"/>
  <c r="Q519" i="2"/>
  <c r="T519" i="2" s="1"/>
  <c r="U518" i="2"/>
  <c r="T518" i="2"/>
  <c r="N518" i="2"/>
  <c r="N516" i="2" s="1"/>
  <c r="M518" i="2"/>
  <c r="L518" i="2"/>
  <c r="U517" i="2"/>
  <c r="T517" i="2"/>
  <c r="P517" i="2"/>
  <c r="O517" i="2"/>
  <c r="T516" i="2"/>
  <c r="S516" i="2"/>
  <c r="R516" i="2"/>
  <c r="U516" i="2" s="1"/>
  <c r="Q516" i="2"/>
  <c r="S515" i="2"/>
  <c r="R515" i="2"/>
  <c r="Q515" i="2"/>
  <c r="U514" i="2"/>
  <c r="T514" i="2"/>
  <c r="S514" i="2"/>
  <c r="R514" i="2"/>
  <c r="Q514" i="2"/>
  <c r="P514" i="2"/>
  <c r="O514" i="2"/>
  <c r="N514" i="2"/>
  <c r="M514" i="2"/>
  <c r="L514" i="2"/>
  <c r="S513" i="2"/>
  <c r="K512" i="2"/>
  <c r="J512" i="2"/>
  <c r="I512" i="2"/>
  <c r="I509" i="2"/>
  <c r="K509" i="2" s="1"/>
  <c r="K508" i="2"/>
  <c r="I507" i="2"/>
  <c r="K507" i="2" s="1"/>
  <c r="I506" i="2"/>
  <c r="K506" i="2" s="1"/>
  <c r="I505" i="2"/>
  <c r="K505" i="2" s="1"/>
  <c r="I504" i="2"/>
  <c r="K504" i="2" s="1"/>
  <c r="J503" i="2"/>
  <c r="I503" i="2"/>
  <c r="U501" i="2"/>
  <c r="T501" i="2"/>
  <c r="N501" i="2"/>
  <c r="N499" i="2" s="1"/>
  <c r="M501" i="2"/>
  <c r="P501" i="2" s="1"/>
  <c r="L501" i="2"/>
  <c r="U500" i="2"/>
  <c r="T500" i="2"/>
  <c r="P500" i="2"/>
  <c r="O500" i="2"/>
  <c r="U499" i="2"/>
  <c r="T499" i="2"/>
  <c r="S499" i="2"/>
  <c r="R499" i="2"/>
  <c r="Q499" i="2"/>
  <c r="S498" i="2"/>
  <c r="S495" i="2" s="1"/>
  <c r="S493" i="2" s="1"/>
  <c r="R498" i="2"/>
  <c r="R496" i="2" s="1"/>
  <c r="Q498" i="2"/>
  <c r="Q496" i="2" s="1"/>
  <c r="N498" i="2"/>
  <c r="M498" i="2"/>
  <c r="L498" i="2"/>
  <c r="L496" i="2" s="1"/>
  <c r="U497" i="2"/>
  <c r="T497" i="2"/>
  <c r="P497" i="2"/>
  <c r="O497" i="2"/>
  <c r="S494" i="2"/>
  <c r="R494" i="2"/>
  <c r="Q494" i="2"/>
  <c r="T494" i="2" s="1"/>
  <c r="P494" i="2"/>
  <c r="O494" i="2"/>
  <c r="N494" i="2"/>
  <c r="M494" i="2"/>
  <c r="L494" i="2"/>
  <c r="J492" i="2"/>
  <c r="K485" i="2"/>
  <c r="J485" i="2"/>
  <c r="I485" i="2"/>
  <c r="K484" i="2"/>
  <c r="J484" i="2"/>
  <c r="I484" i="2"/>
  <c r="J483" i="2"/>
  <c r="J482" i="2"/>
  <c r="K477" i="2"/>
  <c r="J477" i="2"/>
  <c r="K476" i="2"/>
  <c r="J476" i="2"/>
  <c r="K475" i="2"/>
  <c r="J475" i="2"/>
  <c r="J468" i="2"/>
  <c r="J467" i="2"/>
  <c r="J460" i="2"/>
  <c r="J458" i="2" s="1"/>
  <c r="J459" i="2"/>
  <c r="J457" i="2" s="1"/>
  <c r="J456" i="2" s="1"/>
  <c r="I458" i="2"/>
  <c r="I457" i="2"/>
  <c r="I456" i="2" s="1"/>
  <c r="J447" i="2"/>
  <c r="J441" i="2" s="1"/>
  <c r="J446" i="2"/>
  <c r="J440" i="2" s="1"/>
  <c r="J423" i="2" s="1"/>
  <c r="J412" i="2" s="1"/>
  <c r="I441" i="2"/>
  <c r="K441" i="2" s="1"/>
  <c r="I440" i="2"/>
  <c r="J433" i="2"/>
  <c r="I433" i="2"/>
  <c r="K433" i="2" s="1"/>
  <c r="J432" i="2"/>
  <c r="I432" i="2"/>
  <c r="K432" i="2" s="1"/>
  <c r="J425" i="2"/>
  <c r="I425" i="2"/>
  <c r="K425" i="2" s="1"/>
  <c r="J424" i="2"/>
  <c r="I424" i="2"/>
  <c r="K424" i="2" s="1"/>
  <c r="U421" i="2"/>
  <c r="T421" i="2"/>
  <c r="N421" i="2"/>
  <c r="N419" i="2" s="1"/>
  <c r="M421" i="2"/>
  <c r="L421" i="2"/>
  <c r="O421" i="2" s="1"/>
  <c r="U420" i="2"/>
  <c r="T420" i="2"/>
  <c r="P420" i="2"/>
  <c r="O420" i="2"/>
  <c r="U419" i="2"/>
  <c r="T419" i="2"/>
  <c r="S419" i="2"/>
  <c r="R419" i="2"/>
  <c r="Q419" i="2"/>
  <c r="S418" i="2"/>
  <c r="S416" i="2" s="1"/>
  <c r="R418" i="2"/>
  <c r="Q418" i="2"/>
  <c r="Q416" i="2" s="1"/>
  <c r="N418" i="2"/>
  <c r="M418" i="2"/>
  <c r="L418" i="2"/>
  <c r="L416" i="2" s="1"/>
  <c r="U417" i="2"/>
  <c r="T417" i="2"/>
  <c r="P417" i="2"/>
  <c r="O417" i="2"/>
  <c r="S414" i="2"/>
  <c r="R414" i="2"/>
  <c r="Q414" i="2"/>
  <c r="P414" i="2"/>
  <c r="N414" i="2"/>
  <c r="M414" i="2"/>
  <c r="L414" i="2"/>
  <c r="U400" i="2"/>
  <c r="T400" i="2"/>
  <c r="P400" i="2"/>
  <c r="O400" i="2"/>
  <c r="U399" i="2"/>
  <c r="T399" i="2"/>
  <c r="P399" i="2"/>
  <c r="O399" i="2"/>
  <c r="S398" i="2"/>
  <c r="R398" i="2"/>
  <c r="U398" i="2" s="1"/>
  <c r="Q398" i="2"/>
  <c r="T398" i="2" s="1"/>
  <c r="N398" i="2"/>
  <c r="M398" i="2"/>
  <c r="P398" i="2" s="1"/>
  <c r="L398" i="2"/>
  <c r="O398" i="2" s="1"/>
  <c r="S397" i="2"/>
  <c r="S395" i="2" s="1"/>
  <c r="R397" i="2"/>
  <c r="R395" i="2" s="1"/>
  <c r="U395" i="2" s="1"/>
  <c r="Q397" i="2"/>
  <c r="P397" i="2"/>
  <c r="O397" i="2"/>
  <c r="U396" i="2"/>
  <c r="T396" i="2"/>
  <c r="P396" i="2"/>
  <c r="O396" i="2"/>
  <c r="P395" i="2"/>
  <c r="O395" i="2"/>
  <c r="N395" i="2"/>
  <c r="M395" i="2"/>
  <c r="L395" i="2"/>
  <c r="N394" i="2"/>
  <c r="M394" i="2"/>
  <c r="L394" i="2"/>
  <c r="O394" i="2" s="1"/>
  <c r="S393" i="2"/>
  <c r="R393" i="2"/>
  <c r="Q393" i="2"/>
  <c r="P393" i="2"/>
  <c r="N393" i="2"/>
  <c r="N392" i="2" s="1"/>
  <c r="M393" i="2"/>
  <c r="L393" i="2"/>
  <c r="J391" i="2"/>
  <c r="I391" i="2"/>
  <c r="K391" i="2" s="1"/>
  <c r="J388" i="2"/>
  <c r="I388" i="2"/>
  <c r="K388" i="2" s="1"/>
  <c r="K387" i="2"/>
  <c r="J387" i="2"/>
  <c r="J386" i="2"/>
  <c r="I386" i="2"/>
  <c r="K385" i="2"/>
  <c r="J385" i="2"/>
  <c r="U383" i="2"/>
  <c r="T383" i="2"/>
  <c r="N383" i="2"/>
  <c r="N381" i="2" s="1"/>
  <c r="M383" i="2"/>
  <c r="P383" i="2" s="1"/>
  <c r="L383" i="2"/>
  <c r="U382" i="2"/>
  <c r="T382" i="2"/>
  <c r="P382" i="2"/>
  <c r="O382" i="2"/>
  <c r="T381" i="2"/>
  <c r="S381" i="2"/>
  <c r="R381" i="2"/>
  <c r="U381" i="2" s="1"/>
  <c r="Q381" i="2"/>
  <c r="S380" i="2"/>
  <c r="S378" i="2" s="1"/>
  <c r="R380" i="2"/>
  <c r="R377" i="2" s="1"/>
  <c r="Q380" i="2"/>
  <c r="Q377" i="2" s="1"/>
  <c r="N380" i="2"/>
  <c r="N378" i="2" s="1"/>
  <c r="M380" i="2"/>
  <c r="M378" i="2" s="1"/>
  <c r="L380" i="2"/>
  <c r="U379" i="2"/>
  <c r="T379" i="2"/>
  <c r="P379" i="2"/>
  <c r="O379" i="2"/>
  <c r="U376" i="2"/>
  <c r="T376" i="2"/>
  <c r="S376" i="2"/>
  <c r="R376" i="2"/>
  <c r="Q376" i="2"/>
  <c r="P376" i="2"/>
  <c r="O376" i="2"/>
  <c r="N376" i="2"/>
  <c r="M376" i="2"/>
  <c r="L376" i="2"/>
  <c r="D373" i="2"/>
  <c r="K372" i="2"/>
  <c r="J372" i="2"/>
  <c r="J371" i="2"/>
  <c r="I371" i="2"/>
  <c r="I365" i="2" s="1"/>
  <c r="K370" i="2"/>
  <c r="J370" i="2"/>
  <c r="J369" i="2"/>
  <c r="I369" i="2"/>
  <c r="J368" i="2"/>
  <c r="I368" i="2"/>
  <c r="K367" i="2"/>
  <c r="J367" i="2"/>
  <c r="U364" i="2"/>
  <c r="T364" i="2"/>
  <c r="N364" i="2"/>
  <c r="N362" i="2" s="1"/>
  <c r="M364" i="2"/>
  <c r="L364" i="2"/>
  <c r="U363" i="2"/>
  <c r="T363" i="2"/>
  <c r="P363" i="2"/>
  <c r="O363" i="2"/>
  <c r="U362" i="2"/>
  <c r="T362" i="2"/>
  <c r="S362" i="2"/>
  <c r="R362" i="2"/>
  <c r="Q362" i="2"/>
  <c r="U361" i="2"/>
  <c r="T361" i="2"/>
  <c r="N361" i="2"/>
  <c r="N359" i="2" s="1"/>
  <c r="M361" i="2"/>
  <c r="M359" i="2" s="1"/>
  <c r="L361" i="2"/>
  <c r="U360" i="2"/>
  <c r="T360" i="2"/>
  <c r="P360" i="2"/>
  <c r="O360" i="2"/>
  <c r="S359" i="2"/>
  <c r="R359" i="2"/>
  <c r="U359" i="2" s="1"/>
  <c r="Q359" i="2"/>
  <c r="T359" i="2" s="1"/>
  <c r="U358" i="2"/>
  <c r="T358" i="2"/>
  <c r="S358" i="2"/>
  <c r="R358" i="2"/>
  <c r="Q358" i="2"/>
  <c r="T357" i="2"/>
  <c r="S357" i="2"/>
  <c r="S356" i="2" s="1"/>
  <c r="R357" i="2"/>
  <c r="U357" i="2" s="1"/>
  <c r="Q357" i="2"/>
  <c r="N357" i="2"/>
  <c r="M357" i="2"/>
  <c r="L357" i="2"/>
  <c r="O357" i="2" s="1"/>
  <c r="R356" i="2"/>
  <c r="U356" i="2" s="1"/>
  <c r="Q356" i="2"/>
  <c r="T356" i="2" s="1"/>
  <c r="J354" i="2"/>
  <c r="J353" i="2"/>
  <c r="J352" i="2"/>
  <c r="D350" i="2"/>
  <c r="J349" i="2"/>
  <c r="J348" i="2"/>
  <c r="J347" i="2"/>
  <c r="J346" i="2"/>
  <c r="I346" i="2"/>
  <c r="K344" i="2"/>
  <c r="J344" i="2"/>
  <c r="U341" i="2"/>
  <c r="T341" i="2"/>
  <c r="N341" i="2"/>
  <c r="M341" i="2"/>
  <c r="P341" i="2" s="1"/>
  <c r="L341" i="2"/>
  <c r="U340" i="2"/>
  <c r="T340" i="2"/>
  <c r="P340" i="2"/>
  <c r="O340" i="2"/>
  <c r="U339" i="2"/>
  <c r="S339" i="2"/>
  <c r="R339" i="2"/>
  <c r="Q339" i="2"/>
  <c r="T339" i="2" s="1"/>
  <c r="U338" i="2"/>
  <c r="T338" i="2"/>
  <c r="N338" i="2"/>
  <c r="N336" i="2" s="1"/>
  <c r="M338" i="2"/>
  <c r="M336" i="2" s="1"/>
  <c r="L338" i="2"/>
  <c r="U337" i="2"/>
  <c r="T337" i="2"/>
  <c r="P337" i="2"/>
  <c r="O337" i="2"/>
  <c r="T336" i="2"/>
  <c r="S336" i="2"/>
  <c r="R336" i="2"/>
  <c r="U336" i="2" s="1"/>
  <c r="Q336" i="2"/>
  <c r="S335" i="2"/>
  <c r="R335" i="2"/>
  <c r="U335" i="2" s="1"/>
  <c r="Q335" i="2"/>
  <c r="U334" i="2"/>
  <c r="T334" i="2"/>
  <c r="S334" i="2"/>
  <c r="R334" i="2"/>
  <c r="R333" i="2" s="1"/>
  <c r="U333" i="2" s="1"/>
  <c r="Q334" i="2"/>
  <c r="P334" i="2"/>
  <c r="O334" i="2"/>
  <c r="N334" i="2"/>
  <c r="M334" i="2"/>
  <c r="L334" i="2"/>
  <c r="S333" i="2"/>
  <c r="I332" i="2"/>
  <c r="I330" i="2"/>
  <c r="U328" i="2"/>
  <c r="T328" i="2"/>
  <c r="N328" i="2"/>
  <c r="M328" i="2"/>
  <c r="L328" i="2"/>
  <c r="O328" i="2" s="1"/>
  <c r="U327" i="2"/>
  <c r="T327" i="2"/>
  <c r="P327" i="2"/>
  <c r="O327" i="2"/>
  <c r="U326" i="2"/>
  <c r="T326" i="2"/>
  <c r="S326" i="2"/>
  <c r="R326" i="2"/>
  <c r="Q326" i="2"/>
  <c r="U325" i="2"/>
  <c r="T325" i="2"/>
  <c r="N325" i="2"/>
  <c r="M325" i="2"/>
  <c r="M323" i="2" s="1"/>
  <c r="L325" i="2"/>
  <c r="L323" i="2" s="1"/>
  <c r="U324" i="2"/>
  <c r="T324" i="2"/>
  <c r="P324" i="2"/>
  <c r="O324" i="2"/>
  <c r="S323" i="2"/>
  <c r="R323" i="2"/>
  <c r="U323" i="2" s="1"/>
  <c r="Q323" i="2"/>
  <c r="T323" i="2" s="1"/>
  <c r="U322" i="2"/>
  <c r="S322" i="2"/>
  <c r="R322" i="2"/>
  <c r="Q322" i="2"/>
  <c r="T322" i="2" s="1"/>
  <c r="U321" i="2"/>
  <c r="T321" i="2"/>
  <c r="S321" i="2"/>
  <c r="R321" i="2"/>
  <c r="Q321" i="2"/>
  <c r="Q320" i="2" s="1"/>
  <c r="T320" i="2" s="1"/>
  <c r="O321" i="2"/>
  <c r="N321" i="2"/>
  <c r="M321" i="2"/>
  <c r="P321" i="2" s="1"/>
  <c r="L321" i="2"/>
  <c r="S320" i="2"/>
  <c r="R320" i="2"/>
  <c r="U320" i="2" s="1"/>
  <c r="J319" i="2"/>
  <c r="I314" i="2"/>
  <c r="K314" i="2" s="1"/>
  <c r="U311" i="2"/>
  <c r="T311" i="2"/>
  <c r="N311" i="2"/>
  <c r="N309" i="2" s="1"/>
  <c r="M311" i="2"/>
  <c r="L311" i="2"/>
  <c r="U310" i="2"/>
  <c r="T310" i="2"/>
  <c r="P310" i="2"/>
  <c r="O310" i="2"/>
  <c r="U309" i="2"/>
  <c r="T309" i="2"/>
  <c r="S309" i="2"/>
  <c r="R309" i="2"/>
  <c r="Q309" i="2"/>
  <c r="S308" i="2"/>
  <c r="R308" i="2"/>
  <c r="R305" i="2" s="1"/>
  <c r="Q308" i="2"/>
  <c r="N308" i="2"/>
  <c r="N306" i="2" s="1"/>
  <c r="M308" i="2"/>
  <c r="L308" i="2"/>
  <c r="U307" i="2"/>
  <c r="T307" i="2"/>
  <c r="P307" i="2"/>
  <c r="O307" i="2"/>
  <c r="U304" i="2"/>
  <c r="S304" i="2"/>
  <c r="R304" i="2"/>
  <c r="Q304" i="2"/>
  <c r="P304" i="2"/>
  <c r="O304" i="2"/>
  <c r="N304" i="2"/>
  <c r="M304" i="2"/>
  <c r="L304" i="2"/>
  <c r="J302" i="2"/>
  <c r="I296" i="2"/>
  <c r="K296" i="2" s="1"/>
  <c r="I295" i="2"/>
  <c r="K295" i="2" s="1"/>
  <c r="J293" i="2"/>
  <c r="J280" i="2" s="1"/>
  <c r="I293" i="2"/>
  <c r="I292" i="2"/>
  <c r="U290" i="2"/>
  <c r="T290" i="2"/>
  <c r="N290" i="2"/>
  <c r="M290" i="2"/>
  <c r="L290" i="2"/>
  <c r="L288" i="2" s="1"/>
  <c r="O288" i="2" s="1"/>
  <c r="U289" i="2"/>
  <c r="T289" i="2"/>
  <c r="P289" i="2"/>
  <c r="O289" i="2"/>
  <c r="S288" i="2"/>
  <c r="R288" i="2"/>
  <c r="U288" i="2" s="1"/>
  <c r="Q288" i="2"/>
  <c r="T288" i="2" s="1"/>
  <c r="U287" i="2"/>
  <c r="T287" i="2"/>
  <c r="N287" i="2"/>
  <c r="M287" i="2"/>
  <c r="L287" i="2"/>
  <c r="U286" i="2"/>
  <c r="T286" i="2"/>
  <c r="P286" i="2"/>
  <c r="O286" i="2"/>
  <c r="U285" i="2"/>
  <c r="T285" i="2"/>
  <c r="S285" i="2"/>
  <c r="R285" i="2"/>
  <c r="Q285" i="2"/>
  <c r="N285" i="2"/>
  <c r="S284" i="2"/>
  <c r="R284" i="2"/>
  <c r="Q284" i="2"/>
  <c r="T284" i="2" s="1"/>
  <c r="U283" i="2"/>
  <c r="S283" i="2"/>
  <c r="S282" i="2" s="1"/>
  <c r="R283" i="2"/>
  <c r="Q283" i="2"/>
  <c r="P283" i="2"/>
  <c r="O283" i="2"/>
  <c r="N283" i="2"/>
  <c r="M283" i="2"/>
  <c r="L283" i="2"/>
  <c r="J281" i="2"/>
  <c r="I276" i="2"/>
  <c r="I265" i="2" s="1"/>
  <c r="U274" i="2"/>
  <c r="T274" i="2"/>
  <c r="N274" i="2"/>
  <c r="N272" i="2" s="1"/>
  <c r="M274" i="2"/>
  <c r="L274" i="2"/>
  <c r="U273" i="2"/>
  <c r="T273" i="2"/>
  <c r="P273" i="2"/>
  <c r="O273" i="2"/>
  <c r="T272" i="2"/>
  <c r="S272" i="2"/>
  <c r="R272" i="2"/>
  <c r="U272" i="2" s="1"/>
  <c r="Q272" i="2"/>
  <c r="S271" i="2"/>
  <c r="R271" i="2"/>
  <c r="Q271" i="2"/>
  <c r="Q268" i="2" s="1"/>
  <c r="N271" i="2"/>
  <c r="N269" i="2" s="1"/>
  <c r="M271" i="2"/>
  <c r="M269" i="2" s="1"/>
  <c r="L271" i="2"/>
  <c r="U270" i="2"/>
  <c r="T270" i="2"/>
  <c r="P270" i="2"/>
  <c r="O270" i="2"/>
  <c r="U267" i="2"/>
  <c r="T267" i="2"/>
  <c r="S267" i="2"/>
  <c r="R267" i="2"/>
  <c r="Q267" i="2"/>
  <c r="P267" i="2"/>
  <c r="O267" i="2"/>
  <c r="N267" i="2"/>
  <c r="M267" i="2"/>
  <c r="L267" i="2"/>
  <c r="J265" i="2"/>
  <c r="K263" i="2"/>
  <c r="K262" i="2"/>
  <c r="I260" i="2"/>
  <c r="K260" i="2" s="1"/>
  <c r="L258" i="2"/>
  <c r="L257" i="2"/>
  <c r="L256" i="2"/>
  <c r="L255" i="2"/>
  <c r="P254" i="2"/>
  <c r="N254" i="2"/>
  <c r="J253" i="2"/>
  <c r="K252" i="2"/>
  <c r="K251" i="2"/>
  <c r="I249" i="2"/>
  <c r="L247" i="2"/>
  <c r="L246" i="2"/>
  <c r="L245" i="2"/>
  <c r="L244" i="2"/>
  <c r="P243" i="2"/>
  <c r="N243" i="2"/>
  <c r="N232" i="2" s="1"/>
  <c r="J242" i="2"/>
  <c r="J231" i="2" s="1"/>
  <c r="J185" i="2" s="1"/>
  <c r="K241" i="2"/>
  <c r="J241" i="2"/>
  <c r="I241" i="2"/>
  <c r="K240" i="2"/>
  <c r="J240" i="2"/>
  <c r="I240" i="2"/>
  <c r="J238" i="2"/>
  <c r="N236" i="2"/>
  <c r="N235" i="2"/>
  <c r="N234" i="2"/>
  <c r="N233" i="2"/>
  <c r="I230" i="2"/>
  <c r="K230" i="2" s="1"/>
  <c r="I229" i="2"/>
  <c r="I228" i="2"/>
  <c r="K228" i="2" s="1"/>
  <c r="L225" i="2"/>
  <c r="L224" i="2"/>
  <c r="L223" i="2"/>
  <c r="P222" i="2"/>
  <c r="N222" i="2"/>
  <c r="J221" i="2"/>
  <c r="I220" i="2"/>
  <c r="K220" i="2" s="1"/>
  <c r="I219" i="2"/>
  <c r="K219" i="2" s="1"/>
  <c r="Q217" i="2"/>
  <c r="Q214" i="2" s="1"/>
  <c r="T214" i="2" s="1"/>
  <c r="L217" i="2"/>
  <c r="L216" i="2"/>
  <c r="L215" i="2"/>
  <c r="U214" i="2"/>
  <c r="S214" i="2"/>
  <c r="P214" i="2"/>
  <c r="N214" i="2"/>
  <c r="J213" i="2"/>
  <c r="I212" i="2"/>
  <c r="K212" i="2" s="1"/>
  <c r="I211" i="2"/>
  <c r="K211" i="2" s="1"/>
  <c r="I209" i="2"/>
  <c r="L207" i="2"/>
  <c r="Q206" i="2"/>
  <c r="Q203" i="2" s="1"/>
  <c r="T203" i="2" s="1"/>
  <c r="L206" i="2"/>
  <c r="L205" i="2"/>
  <c r="L204" i="2"/>
  <c r="U203" i="2"/>
  <c r="S203" i="2"/>
  <c r="P203" i="2"/>
  <c r="N203" i="2"/>
  <c r="J202" i="2"/>
  <c r="J199" i="2"/>
  <c r="I198" i="2"/>
  <c r="P196" i="2"/>
  <c r="L196" i="2"/>
  <c r="O196" i="2" s="1"/>
  <c r="J195" i="2"/>
  <c r="S194" i="2"/>
  <c r="S192" i="2" s="1"/>
  <c r="R194" i="2"/>
  <c r="Q194" i="2"/>
  <c r="T194" i="2" s="1"/>
  <c r="N194" i="2"/>
  <c r="N192" i="2" s="1"/>
  <c r="M194" i="2"/>
  <c r="L194" i="2"/>
  <c r="L192" i="2" s="1"/>
  <c r="O192" i="2" s="1"/>
  <c r="U193" i="2"/>
  <c r="T193" i="2"/>
  <c r="P193" i="2"/>
  <c r="O193" i="2"/>
  <c r="S191" i="2"/>
  <c r="S189" i="2" s="1"/>
  <c r="R191" i="2"/>
  <c r="Q191" i="2"/>
  <c r="N191" i="2"/>
  <c r="M191" i="2"/>
  <c r="L191" i="2"/>
  <c r="L189" i="2" s="1"/>
  <c r="U190" i="2"/>
  <c r="T190" i="2"/>
  <c r="P190" i="2"/>
  <c r="O190" i="2"/>
  <c r="U187" i="2"/>
  <c r="T187" i="2"/>
  <c r="S187" i="2"/>
  <c r="R187" i="2"/>
  <c r="Q187" i="2"/>
  <c r="O187" i="2"/>
  <c r="N187" i="2"/>
  <c r="M187" i="2"/>
  <c r="L187" i="2"/>
  <c r="K184" i="2"/>
  <c r="I183" i="2"/>
  <c r="K183" i="2" s="1"/>
  <c r="U181" i="2"/>
  <c r="T181" i="2"/>
  <c r="N181" i="2"/>
  <c r="N179" i="2" s="1"/>
  <c r="M181" i="2"/>
  <c r="M179" i="2" s="1"/>
  <c r="P179" i="2" s="1"/>
  <c r="L181" i="2"/>
  <c r="O181" i="2" s="1"/>
  <c r="U180" i="2"/>
  <c r="T180" i="2"/>
  <c r="P180" i="2"/>
  <c r="O180" i="2"/>
  <c r="S179" i="2"/>
  <c r="R179" i="2"/>
  <c r="U179" i="2" s="1"/>
  <c r="Q179" i="2"/>
  <c r="T179" i="2" s="1"/>
  <c r="S178" i="2"/>
  <c r="S176" i="2" s="1"/>
  <c r="R178" i="2"/>
  <c r="Q178" i="2"/>
  <c r="Q176" i="2" s="1"/>
  <c r="T176" i="2" s="1"/>
  <c r="N178" i="2"/>
  <c r="M178" i="2"/>
  <c r="M176" i="2" s="1"/>
  <c r="L178" i="2"/>
  <c r="L176" i="2" s="1"/>
  <c r="U177" i="2"/>
  <c r="T177" i="2"/>
  <c r="P177" i="2"/>
  <c r="O177" i="2"/>
  <c r="S174" i="2"/>
  <c r="R174" i="2"/>
  <c r="U174" i="2" s="1"/>
  <c r="Q174" i="2"/>
  <c r="T174" i="2" s="1"/>
  <c r="P174" i="2"/>
  <c r="N174" i="2"/>
  <c r="M174" i="2"/>
  <c r="L174" i="2"/>
  <c r="O174" i="2" s="1"/>
  <c r="J172" i="2"/>
  <c r="I169" i="2"/>
  <c r="K169" i="2" s="1"/>
  <c r="I168" i="2"/>
  <c r="K168" i="2" s="1"/>
  <c r="I167" i="2"/>
  <c r="K167" i="2" s="1"/>
  <c r="U165" i="2"/>
  <c r="T165" i="2"/>
  <c r="N165" i="2"/>
  <c r="N163" i="2" s="1"/>
  <c r="M165" i="2"/>
  <c r="M163" i="2" s="1"/>
  <c r="P163" i="2" s="1"/>
  <c r="L165" i="2"/>
  <c r="L163" i="2" s="1"/>
  <c r="O163" i="2" s="1"/>
  <c r="U164" i="2"/>
  <c r="T164" i="2"/>
  <c r="P164" i="2"/>
  <c r="O164" i="2"/>
  <c r="S163" i="2"/>
  <c r="R163" i="2"/>
  <c r="U163" i="2" s="1"/>
  <c r="Q163" i="2"/>
  <c r="T163" i="2" s="1"/>
  <c r="S162" i="2"/>
  <c r="S160" i="2" s="1"/>
  <c r="R162" i="2"/>
  <c r="Q162" i="2"/>
  <c r="Q159" i="2" s="1"/>
  <c r="N162" i="2"/>
  <c r="M162" i="2"/>
  <c r="L162" i="2"/>
  <c r="O162" i="2" s="1"/>
  <c r="U161" i="2"/>
  <c r="T161" i="2"/>
  <c r="P161" i="2"/>
  <c r="O161" i="2"/>
  <c r="T158" i="2"/>
  <c r="S158" i="2"/>
  <c r="R158" i="2"/>
  <c r="U158" i="2" s="1"/>
  <c r="Q158" i="2"/>
  <c r="P158" i="2"/>
  <c r="N158" i="2"/>
  <c r="M158" i="2"/>
  <c r="L158" i="2"/>
  <c r="O158" i="2" s="1"/>
  <c r="J156" i="2"/>
  <c r="I154" i="2"/>
  <c r="K154" i="2" s="1"/>
  <c r="I153" i="2"/>
  <c r="I152" i="2"/>
  <c r="I151" i="2"/>
  <c r="K151" i="2" s="1"/>
  <c r="I150" i="2"/>
  <c r="K150" i="2" s="1"/>
  <c r="S147" i="2"/>
  <c r="S145" i="2" s="1"/>
  <c r="R147" i="2"/>
  <c r="U147" i="2" s="1"/>
  <c r="Q147" i="2"/>
  <c r="T147" i="2" s="1"/>
  <c r="N147" i="2"/>
  <c r="N145" i="2" s="1"/>
  <c r="M147" i="2"/>
  <c r="L147" i="2"/>
  <c r="L145" i="2" s="1"/>
  <c r="O145" i="2" s="1"/>
  <c r="U146" i="2"/>
  <c r="T146" i="2"/>
  <c r="P146" i="2"/>
  <c r="O146" i="2"/>
  <c r="S144" i="2"/>
  <c r="S142" i="2" s="1"/>
  <c r="R144" i="2"/>
  <c r="Q144" i="2"/>
  <c r="Q142" i="2" s="1"/>
  <c r="T142" i="2" s="1"/>
  <c r="N144" i="2"/>
  <c r="N142" i="2" s="1"/>
  <c r="M144" i="2"/>
  <c r="L144" i="2"/>
  <c r="U143" i="2"/>
  <c r="T143" i="2"/>
  <c r="P143" i="2"/>
  <c r="O143" i="2"/>
  <c r="S140" i="2"/>
  <c r="R140" i="2"/>
  <c r="Q140" i="2"/>
  <c r="P140" i="2"/>
  <c r="N140" i="2"/>
  <c r="M140" i="2"/>
  <c r="L140" i="2"/>
  <c r="J138" i="2"/>
  <c r="J137" i="2"/>
  <c r="J136" i="2"/>
  <c r="I130" i="2"/>
  <c r="K130" i="2" s="1"/>
  <c r="I129" i="2"/>
  <c r="K129" i="2" s="1"/>
  <c r="I128" i="2"/>
  <c r="K128" i="2" s="1"/>
  <c r="I127" i="2"/>
  <c r="I116" i="2" s="1"/>
  <c r="K116" i="2" s="1"/>
  <c r="S125" i="2"/>
  <c r="S123" i="2" s="1"/>
  <c r="R125" i="2"/>
  <c r="Q125" i="2"/>
  <c r="N125" i="2"/>
  <c r="N123" i="2" s="1"/>
  <c r="M125" i="2"/>
  <c r="P125" i="2" s="1"/>
  <c r="L125" i="2"/>
  <c r="U124" i="2"/>
  <c r="T124" i="2"/>
  <c r="P124" i="2"/>
  <c r="O124" i="2"/>
  <c r="S122" i="2"/>
  <c r="S120" i="2" s="1"/>
  <c r="R122" i="2"/>
  <c r="Q122" i="2"/>
  <c r="N122" i="2"/>
  <c r="M122" i="2"/>
  <c r="P122" i="2" s="1"/>
  <c r="L122" i="2"/>
  <c r="U121" i="2"/>
  <c r="T121" i="2"/>
  <c r="P121" i="2"/>
  <c r="O121" i="2"/>
  <c r="U118" i="2"/>
  <c r="S118" i="2"/>
  <c r="R118" i="2"/>
  <c r="Q118" i="2"/>
  <c r="P118" i="2"/>
  <c r="O118" i="2"/>
  <c r="N118" i="2"/>
  <c r="M118" i="2"/>
  <c r="L118" i="2"/>
  <c r="J116" i="2"/>
  <c r="I114" i="2"/>
  <c r="K114" i="2" s="1"/>
  <c r="I109" i="2"/>
  <c r="K109" i="2" s="1"/>
  <c r="I108" i="2"/>
  <c r="U102" i="2"/>
  <c r="T102" i="2"/>
  <c r="N102" i="2"/>
  <c r="N100" i="2" s="1"/>
  <c r="M102" i="2"/>
  <c r="L102" i="2"/>
  <c r="U101" i="2"/>
  <c r="T101" i="2"/>
  <c r="P101" i="2"/>
  <c r="O101" i="2"/>
  <c r="U100" i="2"/>
  <c r="T100" i="2"/>
  <c r="S100" i="2"/>
  <c r="R100" i="2"/>
  <c r="Q100" i="2"/>
  <c r="S99" i="2"/>
  <c r="S97" i="2" s="1"/>
  <c r="R99" i="2"/>
  <c r="Q99" i="2"/>
  <c r="N99" i="2"/>
  <c r="N97" i="2" s="1"/>
  <c r="M99" i="2"/>
  <c r="L99" i="2"/>
  <c r="U98" i="2"/>
  <c r="T98" i="2"/>
  <c r="P98" i="2"/>
  <c r="O98" i="2"/>
  <c r="U95" i="2"/>
  <c r="S95" i="2"/>
  <c r="R95" i="2"/>
  <c r="Q95" i="2"/>
  <c r="P95" i="2"/>
  <c r="O95" i="2"/>
  <c r="N95" i="2"/>
  <c r="M95" i="2"/>
  <c r="L95" i="2"/>
  <c r="J93" i="2"/>
  <c r="J92" i="2"/>
  <c r="I90" i="2"/>
  <c r="K90" i="2" s="1"/>
  <c r="I89" i="2"/>
  <c r="K89" i="2" s="1"/>
  <c r="I88" i="2"/>
  <c r="K88" i="2" s="1"/>
  <c r="I87" i="2"/>
  <c r="K87" i="2" s="1"/>
  <c r="I86" i="2"/>
  <c r="I85" i="2"/>
  <c r="K85" i="2" s="1"/>
  <c r="I84" i="2"/>
  <c r="K84" i="2" s="1"/>
  <c r="J83" i="2"/>
  <c r="J82" i="2"/>
  <c r="S80" i="2"/>
  <c r="R80" i="2"/>
  <c r="R78" i="2" s="1"/>
  <c r="U78" i="2" s="1"/>
  <c r="Q80" i="2"/>
  <c r="Q78" i="2" s="1"/>
  <c r="T78" i="2" s="1"/>
  <c r="N80" i="2"/>
  <c r="N78" i="2" s="1"/>
  <c r="M80" i="2"/>
  <c r="L80" i="2"/>
  <c r="U79" i="2"/>
  <c r="T79" i="2"/>
  <c r="P79" i="2"/>
  <c r="O79" i="2"/>
  <c r="S77" i="2"/>
  <c r="R77" i="2"/>
  <c r="R75" i="2" s="1"/>
  <c r="U75" i="2" s="1"/>
  <c r="Q77" i="2"/>
  <c r="T77" i="2" s="1"/>
  <c r="N77" i="2"/>
  <c r="N75" i="2" s="1"/>
  <c r="M77" i="2"/>
  <c r="L77" i="2"/>
  <c r="U76" i="2"/>
  <c r="T76" i="2"/>
  <c r="P76" i="2"/>
  <c r="O76" i="2"/>
  <c r="S73" i="2"/>
  <c r="R73" i="2"/>
  <c r="Q73" i="2"/>
  <c r="T73" i="2" s="1"/>
  <c r="N73" i="2"/>
  <c r="M73" i="2"/>
  <c r="L73" i="2"/>
  <c r="J71" i="2"/>
  <c r="J70" i="2"/>
  <c r="U67" i="2"/>
  <c r="T67" i="2"/>
  <c r="N67" i="2"/>
  <c r="N65" i="2" s="1"/>
  <c r="M67" i="2"/>
  <c r="L67" i="2"/>
  <c r="L65" i="2" s="1"/>
  <c r="U66" i="2"/>
  <c r="T66" i="2"/>
  <c r="P66" i="2"/>
  <c r="O66" i="2"/>
  <c r="T65" i="2"/>
  <c r="S65" i="2"/>
  <c r="R65" i="2"/>
  <c r="U65" i="2" s="1"/>
  <c r="Q65" i="2"/>
  <c r="U64" i="2"/>
  <c r="T64" i="2"/>
  <c r="N64" i="2"/>
  <c r="N62" i="2" s="1"/>
  <c r="M64" i="2"/>
  <c r="L64" i="2"/>
  <c r="L62" i="2" s="1"/>
  <c r="U63" i="2"/>
  <c r="T63" i="2"/>
  <c r="P63" i="2"/>
  <c r="O63" i="2"/>
  <c r="U62" i="2"/>
  <c r="S62" i="2"/>
  <c r="R62" i="2"/>
  <c r="Q62" i="2"/>
  <c r="T62" i="2" s="1"/>
  <c r="U61" i="2"/>
  <c r="T61" i="2"/>
  <c r="S61" i="2"/>
  <c r="R61" i="2"/>
  <c r="Q61" i="2"/>
  <c r="S60" i="2"/>
  <c r="S59" i="2" s="1"/>
  <c r="R60" i="2"/>
  <c r="Q60" i="2"/>
  <c r="T60" i="2" s="1"/>
  <c r="N60" i="2"/>
  <c r="M60" i="2"/>
  <c r="L60" i="2"/>
  <c r="U52" i="2"/>
  <c r="T52" i="2"/>
  <c r="N52" i="2"/>
  <c r="N50" i="2" s="1"/>
  <c r="M52" i="2"/>
  <c r="P52" i="2" s="1"/>
  <c r="L52" i="2"/>
  <c r="U51" i="2"/>
  <c r="T51" i="2"/>
  <c r="P51" i="2"/>
  <c r="O51" i="2"/>
  <c r="T50" i="2"/>
  <c r="S50" i="2"/>
  <c r="R50" i="2"/>
  <c r="U50" i="2" s="1"/>
  <c r="Q50" i="2"/>
  <c r="U49" i="2"/>
  <c r="T49" i="2"/>
  <c r="N49" i="2"/>
  <c r="M49" i="2"/>
  <c r="L49" i="2"/>
  <c r="L47" i="2" s="1"/>
  <c r="U48" i="2"/>
  <c r="T48" i="2"/>
  <c r="P48" i="2"/>
  <c r="O48" i="2"/>
  <c r="U47" i="2"/>
  <c r="S47" i="2"/>
  <c r="R47" i="2"/>
  <c r="Q47" i="2"/>
  <c r="T47" i="2" s="1"/>
  <c r="U46" i="2"/>
  <c r="T46" i="2"/>
  <c r="S46" i="2"/>
  <c r="R46" i="2"/>
  <c r="Q46" i="2"/>
  <c r="S45" i="2"/>
  <c r="R45" i="2"/>
  <c r="Q45" i="2"/>
  <c r="T45" i="2" s="1"/>
  <c r="N45" i="2"/>
  <c r="M45" i="2"/>
  <c r="L45" i="2"/>
  <c r="Q44" i="2"/>
  <c r="T44" i="2" s="1"/>
  <c r="U25" i="2"/>
  <c r="S25" i="2"/>
  <c r="R25" i="2"/>
  <c r="Q25" i="2"/>
  <c r="T25" i="2" s="1"/>
  <c r="P25" i="2"/>
  <c r="O25" i="2"/>
  <c r="N25" i="2"/>
  <c r="M25" i="2"/>
  <c r="L25" i="2"/>
  <c r="U22" i="2"/>
  <c r="S22" i="2"/>
  <c r="R22" i="2"/>
  <c r="Q22" i="2"/>
  <c r="T22" i="2" s="1"/>
  <c r="P22" i="2"/>
  <c r="O22" i="2"/>
  <c r="N22" i="2"/>
  <c r="M22" i="2"/>
  <c r="L22" i="2"/>
  <c r="U19" i="2"/>
  <c r="S19" i="2"/>
  <c r="R19" i="2"/>
  <c r="Q19" i="2"/>
  <c r="T19" i="2" s="1"/>
  <c r="P19" i="2"/>
  <c r="O19" i="2"/>
  <c r="N19" i="2"/>
  <c r="M19" i="2"/>
  <c r="L1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I758" i="1" s="1"/>
  <c r="J770" i="1"/>
  <c r="I770" i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T767" i="1" s="1"/>
  <c r="N767" i="1"/>
  <c r="M767" i="1"/>
  <c r="L767" i="1"/>
  <c r="S765" i="1"/>
  <c r="S762" i="1" s="1"/>
  <c r="R765" i="1"/>
  <c r="Q765" i="1"/>
  <c r="N765" i="1"/>
  <c r="M765" i="1"/>
  <c r="L765" i="1"/>
  <c r="O765" i="1" s="1"/>
  <c r="S764" i="1"/>
  <c r="S761" i="1" s="1"/>
  <c r="R764" i="1"/>
  <c r="Q764" i="1"/>
  <c r="N764" i="1"/>
  <c r="M764" i="1"/>
  <c r="L764" i="1"/>
  <c r="O764" i="1" s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P736" i="1" s="1"/>
  <c r="L736" i="1"/>
  <c r="O736" i="1" s="1"/>
  <c r="S735" i="1"/>
  <c r="R735" i="1"/>
  <c r="R734" i="1" s="1"/>
  <c r="U734" i="1" s="1"/>
  <c r="Q735" i="1"/>
  <c r="T735" i="1" s="1"/>
  <c r="N735" i="1"/>
  <c r="M735" i="1"/>
  <c r="P735" i="1" s="1"/>
  <c r="L735" i="1"/>
  <c r="O735" i="1" s="1"/>
  <c r="S733" i="1"/>
  <c r="R733" i="1"/>
  <c r="R730" i="1" s="1"/>
  <c r="Q733" i="1"/>
  <c r="N733" i="1"/>
  <c r="N730" i="1" s="1"/>
  <c r="M733" i="1"/>
  <c r="P733" i="1" s="1"/>
  <c r="L733" i="1"/>
  <c r="O733" i="1" s="1"/>
  <c r="S732" i="1"/>
  <c r="R732" i="1"/>
  <c r="R731" i="1" s="1"/>
  <c r="Q732" i="1"/>
  <c r="Q729" i="1" s="1"/>
  <c r="N732" i="1"/>
  <c r="N731" i="1" s="1"/>
  <c r="M732" i="1"/>
  <c r="P732" i="1" s="1"/>
  <c r="L732" i="1"/>
  <c r="O732" i="1" s="1"/>
  <c r="I727" i="1"/>
  <c r="I726" i="1"/>
  <c r="S722" i="1"/>
  <c r="R722" i="1"/>
  <c r="U722" i="1" s="1"/>
  <c r="Q722" i="1"/>
  <c r="N722" i="1"/>
  <c r="M722" i="1"/>
  <c r="P722" i="1" s="1"/>
  <c r="L722" i="1"/>
  <c r="O722" i="1" s="1"/>
  <c r="S721" i="1"/>
  <c r="R721" i="1"/>
  <c r="U721" i="1" s="1"/>
  <c r="Q721" i="1"/>
  <c r="N721" i="1"/>
  <c r="M721" i="1"/>
  <c r="L721" i="1"/>
  <c r="S719" i="1"/>
  <c r="S716" i="1" s="1"/>
  <c r="R719" i="1"/>
  <c r="Q719" i="1"/>
  <c r="T719" i="1" s="1"/>
  <c r="N719" i="1"/>
  <c r="M719" i="1"/>
  <c r="P719" i="1" s="1"/>
  <c r="L719" i="1"/>
  <c r="O719" i="1" s="1"/>
  <c r="S718" i="1"/>
  <c r="R718" i="1"/>
  <c r="U718" i="1" s="1"/>
  <c r="Q718" i="1"/>
  <c r="N718" i="1"/>
  <c r="M718" i="1"/>
  <c r="L718" i="1"/>
  <c r="O718" i="1" s="1"/>
  <c r="K712" i="1"/>
  <c r="J712" i="1"/>
  <c r="K710" i="1"/>
  <c r="J710" i="1"/>
  <c r="J709" i="1"/>
  <c r="I709" i="1"/>
  <c r="K708" i="1"/>
  <c r="J708" i="1"/>
  <c r="J707" i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T698" i="1" s="1"/>
  <c r="N698" i="1"/>
  <c r="M698" i="1"/>
  <c r="P698" i="1" s="1"/>
  <c r="L698" i="1"/>
  <c r="O698" i="1" s="1"/>
  <c r="S697" i="1"/>
  <c r="R697" i="1"/>
  <c r="Q697" i="1"/>
  <c r="N697" i="1"/>
  <c r="M697" i="1"/>
  <c r="P697" i="1" s="1"/>
  <c r="L697" i="1"/>
  <c r="O697" i="1" s="1"/>
  <c r="S695" i="1"/>
  <c r="R695" i="1"/>
  <c r="R692" i="1" s="1"/>
  <c r="Q695" i="1"/>
  <c r="N695" i="1"/>
  <c r="M695" i="1"/>
  <c r="P695" i="1" s="1"/>
  <c r="L695" i="1"/>
  <c r="O695" i="1" s="1"/>
  <c r="S694" i="1"/>
  <c r="R694" i="1"/>
  <c r="Q694" i="1"/>
  <c r="N694" i="1"/>
  <c r="N691" i="1" s="1"/>
  <c r="M694" i="1"/>
  <c r="P694" i="1" s="1"/>
  <c r="L694" i="1"/>
  <c r="O694" i="1" s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U650" i="1" s="1"/>
  <c r="Q650" i="1"/>
  <c r="T650" i="1" s="1"/>
  <c r="N650" i="1"/>
  <c r="M650" i="1"/>
  <c r="L650" i="1"/>
  <c r="O650" i="1" s="1"/>
  <c r="S649" i="1"/>
  <c r="R649" i="1"/>
  <c r="U649" i="1" s="1"/>
  <c r="Q649" i="1"/>
  <c r="T649" i="1" s="1"/>
  <c r="N649" i="1"/>
  <c r="M649" i="1"/>
  <c r="P649" i="1" s="1"/>
  <c r="L649" i="1"/>
  <c r="O649" i="1" s="1"/>
  <c r="S647" i="1"/>
  <c r="R647" i="1"/>
  <c r="Q647" i="1"/>
  <c r="N647" i="1"/>
  <c r="N644" i="1" s="1"/>
  <c r="M647" i="1"/>
  <c r="P647" i="1" s="1"/>
  <c r="L647" i="1"/>
  <c r="O647" i="1" s="1"/>
  <c r="S646" i="1"/>
  <c r="S643" i="1" s="1"/>
  <c r="R646" i="1"/>
  <c r="Q646" i="1"/>
  <c r="Q645" i="1" s="1"/>
  <c r="N646" i="1"/>
  <c r="N645" i="1" s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T624" i="1" s="1"/>
  <c r="N624" i="1"/>
  <c r="M624" i="1"/>
  <c r="P624" i="1" s="1"/>
  <c r="L624" i="1"/>
  <c r="O624" i="1" s="1"/>
  <c r="S623" i="1"/>
  <c r="R623" i="1"/>
  <c r="Q623" i="1"/>
  <c r="N623" i="1"/>
  <c r="M623" i="1"/>
  <c r="P623" i="1" s="1"/>
  <c r="L623" i="1"/>
  <c r="S621" i="1"/>
  <c r="R621" i="1"/>
  <c r="Q621" i="1"/>
  <c r="N621" i="1"/>
  <c r="M621" i="1"/>
  <c r="P621" i="1" s="1"/>
  <c r="L621" i="1"/>
  <c r="S620" i="1"/>
  <c r="R620" i="1"/>
  <c r="R619" i="1" s="1"/>
  <c r="Q620" i="1"/>
  <c r="T620" i="1" s="1"/>
  <c r="N620" i="1"/>
  <c r="M620" i="1"/>
  <c r="P620" i="1" s="1"/>
  <c r="L620" i="1"/>
  <c r="S607" i="1"/>
  <c r="R607" i="1"/>
  <c r="Q607" i="1"/>
  <c r="T607" i="1" s="1"/>
  <c r="N607" i="1"/>
  <c r="M607" i="1"/>
  <c r="L607" i="1"/>
  <c r="O607" i="1" s="1"/>
  <c r="S606" i="1"/>
  <c r="R606" i="1"/>
  <c r="U606" i="1" s="1"/>
  <c r="Q606" i="1"/>
  <c r="N606" i="1"/>
  <c r="M606" i="1"/>
  <c r="P606" i="1" s="1"/>
  <c r="L606" i="1"/>
  <c r="O606" i="1" s="1"/>
  <c r="S604" i="1"/>
  <c r="S601" i="1" s="1"/>
  <c r="R604" i="1"/>
  <c r="U604" i="1" s="1"/>
  <c r="Q604" i="1"/>
  <c r="N604" i="1"/>
  <c r="M604" i="1"/>
  <c r="L604" i="1"/>
  <c r="S603" i="1"/>
  <c r="R603" i="1"/>
  <c r="Q603" i="1"/>
  <c r="T603" i="1" s="1"/>
  <c r="N603" i="1"/>
  <c r="M603" i="1"/>
  <c r="L603" i="1"/>
  <c r="O603" i="1" s="1"/>
  <c r="J587" i="1"/>
  <c r="J575" i="1" s="1"/>
  <c r="I587" i="1"/>
  <c r="I575" i="1" s="1"/>
  <c r="J586" i="1"/>
  <c r="I586" i="1"/>
  <c r="S584" i="1"/>
  <c r="R584" i="1"/>
  <c r="Q584" i="1"/>
  <c r="T584" i="1" s="1"/>
  <c r="N584" i="1"/>
  <c r="M584" i="1"/>
  <c r="P584" i="1" s="1"/>
  <c r="L584" i="1"/>
  <c r="O584" i="1" s="1"/>
  <c r="S583" i="1"/>
  <c r="R583" i="1"/>
  <c r="U583" i="1" s="1"/>
  <c r="Q583" i="1"/>
  <c r="N583" i="1"/>
  <c r="M583" i="1"/>
  <c r="P583" i="1" s="1"/>
  <c r="L583" i="1"/>
  <c r="O583" i="1" s="1"/>
  <c r="S581" i="1"/>
  <c r="R581" i="1"/>
  <c r="U581" i="1" s="1"/>
  <c r="Q581" i="1"/>
  <c r="T581" i="1" s="1"/>
  <c r="N581" i="1"/>
  <c r="N578" i="1" s="1"/>
  <c r="M581" i="1"/>
  <c r="L581" i="1"/>
  <c r="S580" i="1"/>
  <c r="R580" i="1"/>
  <c r="U580" i="1" s="1"/>
  <c r="Q580" i="1"/>
  <c r="T580" i="1" s="1"/>
  <c r="N580" i="1"/>
  <c r="N579" i="1" s="1"/>
  <c r="M580" i="1"/>
  <c r="P580" i="1" s="1"/>
  <c r="L580" i="1"/>
  <c r="O580" i="1" s="1"/>
  <c r="S563" i="1"/>
  <c r="R563" i="1"/>
  <c r="U563" i="1" s="1"/>
  <c r="Q563" i="1"/>
  <c r="T563" i="1" s="1"/>
  <c r="N563" i="1"/>
  <c r="M563" i="1"/>
  <c r="L563" i="1"/>
  <c r="O563" i="1" s="1"/>
  <c r="S562" i="1"/>
  <c r="R562" i="1"/>
  <c r="Q562" i="1"/>
  <c r="N562" i="1"/>
  <c r="M562" i="1"/>
  <c r="P562" i="1" s="1"/>
  <c r="L562" i="1"/>
  <c r="S560" i="1"/>
  <c r="R560" i="1"/>
  <c r="U560" i="1" s="1"/>
  <c r="Q560" i="1"/>
  <c r="N560" i="1"/>
  <c r="N557" i="1" s="1"/>
  <c r="M560" i="1"/>
  <c r="M557" i="1" s="1"/>
  <c r="L560" i="1"/>
  <c r="O560" i="1" s="1"/>
  <c r="S559" i="1"/>
  <c r="R559" i="1"/>
  <c r="Q559" i="1"/>
  <c r="Q558" i="1" s="1"/>
  <c r="T558" i="1" s="1"/>
  <c r="N559" i="1"/>
  <c r="M559" i="1"/>
  <c r="P559" i="1" s="1"/>
  <c r="L559" i="1"/>
  <c r="J554" i="1"/>
  <c r="I554" i="1"/>
  <c r="K554" i="1" s="1"/>
  <c r="K544" i="1"/>
  <c r="S542" i="1"/>
  <c r="R542" i="1"/>
  <c r="U542" i="1" s="1"/>
  <c r="Q542" i="1"/>
  <c r="N542" i="1"/>
  <c r="M542" i="1"/>
  <c r="P542" i="1" s="1"/>
  <c r="L542" i="1"/>
  <c r="O542" i="1" s="1"/>
  <c r="S541" i="1"/>
  <c r="R541" i="1"/>
  <c r="Q541" i="1"/>
  <c r="T541" i="1" s="1"/>
  <c r="N541" i="1"/>
  <c r="M541" i="1"/>
  <c r="P541" i="1" s="1"/>
  <c r="L541" i="1"/>
  <c r="S539" i="1"/>
  <c r="R539" i="1"/>
  <c r="U539" i="1" s="1"/>
  <c r="Q539" i="1"/>
  <c r="T539" i="1" s="1"/>
  <c r="N539" i="1"/>
  <c r="N536" i="1" s="1"/>
  <c r="M539" i="1"/>
  <c r="L539" i="1"/>
  <c r="S538" i="1"/>
  <c r="R538" i="1"/>
  <c r="Q538" i="1"/>
  <c r="N538" i="1"/>
  <c r="M538" i="1"/>
  <c r="M535" i="1" s="1"/>
  <c r="L538" i="1"/>
  <c r="K533" i="1"/>
  <c r="J533" i="1"/>
  <c r="I533" i="1"/>
  <c r="J524" i="1"/>
  <c r="J512" i="1" s="1"/>
  <c r="I524" i="1"/>
  <c r="I512" i="1" s="1"/>
  <c r="K523" i="1"/>
  <c r="J523" i="1"/>
  <c r="S521" i="1"/>
  <c r="R521" i="1"/>
  <c r="U521" i="1" s="1"/>
  <c r="Q521" i="1"/>
  <c r="T521" i="1" s="1"/>
  <c r="N521" i="1"/>
  <c r="M521" i="1"/>
  <c r="L521" i="1"/>
  <c r="S520" i="1"/>
  <c r="R520" i="1"/>
  <c r="Q520" i="1"/>
  <c r="N520" i="1"/>
  <c r="M520" i="1"/>
  <c r="L520" i="1"/>
  <c r="O520" i="1" s="1"/>
  <c r="S518" i="1"/>
  <c r="R518" i="1"/>
  <c r="U518" i="1" s="1"/>
  <c r="Q518" i="1"/>
  <c r="T518" i="1" s="1"/>
  <c r="N518" i="1"/>
  <c r="N515" i="1" s="1"/>
  <c r="M518" i="1"/>
  <c r="P518" i="1" s="1"/>
  <c r="L518" i="1"/>
  <c r="O518" i="1" s="1"/>
  <c r="S517" i="1"/>
  <c r="R517" i="1"/>
  <c r="U517" i="1" s="1"/>
  <c r="Q517" i="1"/>
  <c r="N517" i="1"/>
  <c r="M517" i="1"/>
  <c r="P517" i="1" s="1"/>
  <c r="L517" i="1"/>
  <c r="O517" i="1" s="1"/>
  <c r="J509" i="1"/>
  <c r="I509" i="1"/>
  <c r="K509" i="1" s="1"/>
  <c r="K508" i="1"/>
  <c r="J507" i="1"/>
  <c r="I507" i="1"/>
  <c r="J506" i="1"/>
  <c r="I506" i="1"/>
  <c r="J505" i="1"/>
  <c r="I505" i="1"/>
  <c r="J504" i="1"/>
  <c r="I504" i="1"/>
  <c r="J503" i="1"/>
  <c r="J492" i="1" s="1"/>
  <c r="I503" i="1"/>
  <c r="I492" i="1" s="1"/>
  <c r="S501" i="1"/>
  <c r="R501" i="1"/>
  <c r="U501" i="1" s="1"/>
  <c r="Q501" i="1"/>
  <c r="N501" i="1"/>
  <c r="M501" i="1"/>
  <c r="P501" i="1" s="1"/>
  <c r="L501" i="1"/>
  <c r="O501" i="1" s="1"/>
  <c r="S500" i="1"/>
  <c r="R500" i="1"/>
  <c r="Q500" i="1"/>
  <c r="T500" i="1" s="1"/>
  <c r="N500" i="1"/>
  <c r="M500" i="1"/>
  <c r="P500" i="1" s="1"/>
  <c r="L500" i="1"/>
  <c r="S498" i="1"/>
  <c r="R498" i="1"/>
  <c r="Q498" i="1"/>
  <c r="N498" i="1"/>
  <c r="M498" i="1"/>
  <c r="L498" i="1"/>
  <c r="S497" i="1"/>
  <c r="R497" i="1"/>
  <c r="Q497" i="1"/>
  <c r="T497" i="1" s="1"/>
  <c r="N497" i="1"/>
  <c r="M497" i="1"/>
  <c r="P497" i="1" s="1"/>
  <c r="L497" i="1"/>
  <c r="O497" i="1" s="1"/>
  <c r="J491" i="1"/>
  <c r="J490" i="1"/>
  <c r="J489" i="1"/>
  <c r="J488" i="1"/>
  <c r="J487" i="1"/>
  <c r="J486" i="1"/>
  <c r="I485" i="1"/>
  <c r="I484" i="1"/>
  <c r="I475" i="1" s="1"/>
  <c r="J481" i="1"/>
  <c r="J480" i="1"/>
  <c r="J479" i="1"/>
  <c r="J478" i="1"/>
  <c r="K477" i="1"/>
  <c r="K476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P421" i="1" s="1"/>
  <c r="L421" i="1"/>
  <c r="S420" i="1"/>
  <c r="R420" i="1"/>
  <c r="U420" i="1" s="1"/>
  <c r="Q420" i="1"/>
  <c r="N420" i="1"/>
  <c r="M420" i="1"/>
  <c r="P420" i="1" s="1"/>
  <c r="L420" i="1"/>
  <c r="O420" i="1" s="1"/>
  <c r="S418" i="1"/>
  <c r="R418" i="1"/>
  <c r="Q418" i="1"/>
  <c r="Q415" i="1" s="1"/>
  <c r="N418" i="1"/>
  <c r="M418" i="1"/>
  <c r="L418" i="1"/>
  <c r="S417" i="1"/>
  <c r="R417" i="1"/>
  <c r="U417" i="1" s="1"/>
  <c r="Q417" i="1"/>
  <c r="N417" i="1"/>
  <c r="N414" i="1" s="1"/>
  <c r="M417" i="1"/>
  <c r="P417" i="1" s="1"/>
  <c r="L417" i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R399" i="1"/>
  <c r="U399" i="1" s="1"/>
  <c r="Q399" i="1"/>
  <c r="T399" i="1" s="1"/>
  <c r="N399" i="1"/>
  <c r="M399" i="1"/>
  <c r="L399" i="1"/>
  <c r="O399" i="1" s="1"/>
  <c r="S397" i="1"/>
  <c r="S394" i="1" s="1"/>
  <c r="R397" i="1"/>
  <c r="U397" i="1" s="1"/>
  <c r="Q397" i="1"/>
  <c r="T397" i="1" s="1"/>
  <c r="N397" i="1"/>
  <c r="M397" i="1"/>
  <c r="P397" i="1" s="1"/>
  <c r="L397" i="1"/>
  <c r="S396" i="1"/>
  <c r="S395" i="1" s="1"/>
  <c r="R396" i="1"/>
  <c r="U396" i="1" s="1"/>
  <c r="Q396" i="1"/>
  <c r="T396" i="1" s="1"/>
  <c r="N396" i="1"/>
  <c r="M396" i="1"/>
  <c r="L396" i="1"/>
  <c r="O396" i="1" s="1"/>
  <c r="K391" i="1"/>
  <c r="J391" i="1"/>
  <c r="I391" i="1"/>
  <c r="J388" i="1"/>
  <c r="I388" i="1"/>
  <c r="K388" i="1" s="1"/>
  <c r="J387" i="1"/>
  <c r="I387" i="1"/>
  <c r="K387" i="1" s="1"/>
  <c r="J386" i="1"/>
  <c r="I386" i="1"/>
  <c r="J385" i="1"/>
  <c r="I385" i="1"/>
  <c r="K385" i="1" s="1"/>
  <c r="S383" i="1"/>
  <c r="R383" i="1"/>
  <c r="U383" i="1" s="1"/>
  <c r="Q383" i="1"/>
  <c r="T383" i="1" s="1"/>
  <c r="N383" i="1"/>
  <c r="M383" i="1"/>
  <c r="L383" i="1"/>
  <c r="O383" i="1" s="1"/>
  <c r="S382" i="1"/>
  <c r="R382" i="1"/>
  <c r="Q382" i="1"/>
  <c r="N382" i="1"/>
  <c r="M382" i="1"/>
  <c r="P382" i="1" s="1"/>
  <c r="L382" i="1"/>
  <c r="S380" i="1"/>
  <c r="R380" i="1"/>
  <c r="Q380" i="1"/>
  <c r="N380" i="1"/>
  <c r="M380" i="1"/>
  <c r="L380" i="1"/>
  <c r="L377" i="1" s="1"/>
  <c r="S379" i="1"/>
  <c r="R379" i="1"/>
  <c r="Q379" i="1"/>
  <c r="N379" i="1"/>
  <c r="M379" i="1"/>
  <c r="M378" i="1" s="1"/>
  <c r="L379" i="1"/>
  <c r="L376" i="1" s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Q364" i="1"/>
  <c r="T364" i="1" s="1"/>
  <c r="N364" i="1"/>
  <c r="M364" i="1"/>
  <c r="L364" i="1"/>
  <c r="O364" i="1" s="1"/>
  <c r="S363" i="1"/>
  <c r="R363" i="1"/>
  <c r="U363" i="1" s="1"/>
  <c r="Q363" i="1"/>
  <c r="N363" i="1"/>
  <c r="M363" i="1"/>
  <c r="P363" i="1" s="1"/>
  <c r="L363" i="1"/>
  <c r="O363" i="1" s="1"/>
  <c r="S361" i="1"/>
  <c r="R361" i="1"/>
  <c r="U361" i="1" s="1"/>
  <c r="Q361" i="1"/>
  <c r="N361" i="1"/>
  <c r="N358" i="1" s="1"/>
  <c r="M361" i="1"/>
  <c r="L361" i="1"/>
  <c r="S360" i="1"/>
  <c r="R360" i="1"/>
  <c r="Q360" i="1"/>
  <c r="Q357" i="1" s="1"/>
  <c r="N360" i="1"/>
  <c r="M360" i="1"/>
  <c r="P360" i="1" s="1"/>
  <c r="L360" i="1"/>
  <c r="J354" i="1"/>
  <c r="J353" i="1"/>
  <c r="J352" i="1"/>
  <c r="D350" i="1"/>
  <c r="J349" i="1"/>
  <c r="J348" i="1"/>
  <c r="J347" i="1"/>
  <c r="J346" i="1"/>
  <c r="I346" i="1"/>
  <c r="K344" i="1"/>
  <c r="J344" i="1"/>
  <c r="S341" i="1"/>
  <c r="R341" i="1"/>
  <c r="Q341" i="1"/>
  <c r="T341" i="1" s="1"/>
  <c r="N341" i="1"/>
  <c r="M341" i="1"/>
  <c r="L341" i="1"/>
  <c r="S340" i="1"/>
  <c r="R340" i="1"/>
  <c r="U340" i="1" s="1"/>
  <c r="Q340" i="1"/>
  <c r="T340" i="1" s="1"/>
  <c r="N340" i="1"/>
  <c r="M340" i="1"/>
  <c r="L340" i="1"/>
  <c r="S338" i="1"/>
  <c r="S335" i="1" s="1"/>
  <c r="R338" i="1"/>
  <c r="Q338" i="1"/>
  <c r="N338" i="1"/>
  <c r="N335" i="1" s="1"/>
  <c r="M338" i="1"/>
  <c r="L338" i="1"/>
  <c r="S337" i="1"/>
  <c r="R337" i="1"/>
  <c r="Q337" i="1"/>
  <c r="N337" i="1"/>
  <c r="M337" i="1"/>
  <c r="P337" i="1" s="1"/>
  <c r="L337" i="1"/>
  <c r="O337" i="1" s="1"/>
  <c r="I332" i="1"/>
  <c r="J330" i="1"/>
  <c r="J319" i="1" s="1"/>
  <c r="I330" i="1"/>
  <c r="I319" i="1" s="1"/>
  <c r="S328" i="1"/>
  <c r="R328" i="1"/>
  <c r="U328" i="1" s="1"/>
  <c r="Q328" i="1"/>
  <c r="N328" i="1"/>
  <c r="M328" i="1"/>
  <c r="L328" i="1"/>
  <c r="S327" i="1"/>
  <c r="R327" i="1"/>
  <c r="Q327" i="1"/>
  <c r="T327" i="1" s="1"/>
  <c r="N327" i="1"/>
  <c r="M327" i="1"/>
  <c r="L327" i="1"/>
  <c r="S325" i="1"/>
  <c r="R325" i="1"/>
  <c r="Q325" i="1"/>
  <c r="T325" i="1" s="1"/>
  <c r="N325" i="1"/>
  <c r="N322" i="1" s="1"/>
  <c r="M325" i="1"/>
  <c r="L325" i="1"/>
  <c r="S324" i="1"/>
  <c r="R324" i="1"/>
  <c r="U324" i="1" s="1"/>
  <c r="Q324" i="1"/>
  <c r="T324" i="1" s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N311" i="1"/>
  <c r="M311" i="1"/>
  <c r="P311" i="1" s="1"/>
  <c r="L311" i="1"/>
  <c r="O311" i="1" s="1"/>
  <c r="S310" i="1"/>
  <c r="R310" i="1"/>
  <c r="Q310" i="1"/>
  <c r="T310" i="1" s="1"/>
  <c r="N310" i="1"/>
  <c r="M310" i="1"/>
  <c r="P310" i="1" s="1"/>
  <c r="L310" i="1"/>
  <c r="S308" i="1"/>
  <c r="R308" i="1"/>
  <c r="Q308" i="1"/>
  <c r="N308" i="1"/>
  <c r="M308" i="1"/>
  <c r="L308" i="1"/>
  <c r="S307" i="1"/>
  <c r="R307" i="1"/>
  <c r="U307" i="1" s="1"/>
  <c r="Q307" i="1"/>
  <c r="T307" i="1" s="1"/>
  <c r="N307" i="1"/>
  <c r="M307" i="1"/>
  <c r="P307" i="1" s="1"/>
  <c r="L307" i="1"/>
  <c r="J299" i="1"/>
  <c r="I299" i="1"/>
  <c r="J298" i="1"/>
  <c r="I298" i="1"/>
  <c r="J296" i="1"/>
  <c r="I296" i="1"/>
  <c r="J295" i="1"/>
  <c r="I295" i="1"/>
  <c r="J293" i="1"/>
  <c r="I293" i="1"/>
  <c r="I280" i="1" s="1"/>
  <c r="J292" i="1"/>
  <c r="J281" i="1" s="1"/>
  <c r="I292" i="1"/>
  <c r="I281" i="1" s="1"/>
  <c r="S290" i="1"/>
  <c r="R290" i="1"/>
  <c r="U290" i="1" s="1"/>
  <c r="Q290" i="1"/>
  <c r="T290" i="1" s="1"/>
  <c r="N290" i="1"/>
  <c r="M290" i="1"/>
  <c r="P290" i="1" s="1"/>
  <c r="L290" i="1"/>
  <c r="O290" i="1" s="1"/>
  <c r="S289" i="1"/>
  <c r="R289" i="1"/>
  <c r="Q289" i="1"/>
  <c r="N289" i="1"/>
  <c r="M289" i="1"/>
  <c r="P289" i="1" s="1"/>
  <c r="L289" i="1"/>
  <c r="S287" i="1"/>
  <c r="R287" i="1"/>
  <c r="Q287" i="1"/>
  <c r="T287" i="1" s="1"/>
  <c r="N287" i="1"/>
  <c r="M287" i="1"/>
  <c r="L287" i="1"/>
  <c r="S286" i="1"/>
  <c r="R286" i="1"/>
  <c r="Q286" i="1"/>
  <c r="T286" i="1" s="1"/>
  <c r="N286" i="1"/>
  <c r="M286" i="1"/>
  <c r="P286" i="1" s="1"/>
  <c r="L286" i="1"/>
  <c r="J276" i="1"/>
  <c r="I276" i="1"/>
  <c r="S274" i="1"/>
  <c r="R274" i="1"/>
  <c r="U274" i="1" s="1"/>
  <c r="Q274" i="1"/>
  <c r="T274" i="1" s="1"/>
  <c r="N274" i="1"/>
  <c r="M274" i="1"/>
  <c r="P274" i="1" s="1"/>
  <c r="L274" i="1"/>
  <c r="O274" i="1" s="1"/>
  <c r="S273" i="1"/>
  <c r="R273" i="1"/>
  <c r="Q273" i="1"/>
  <c r="T273" i="1" s="1"/>
  <c r="N273" i="1"/>
  <c r="M273" i="1"/>
  <c r="P273" i="1" s="1"/>
  <c r="L273" i="1"/>
  <c r="O273" i="1" s="1"/>
  <c r="S271" i="1"/>
  <c r="R271" i="1"/>
  <c r="Q271" i="1"/>
  <c r="N271" i="1"/>
  <c r="M271" i="1"/>
  <c r="L271" i="1"/>
  <c r="S270" i="1"/>
  <c r="S269" i="1" s="1"/>
  <c r="R270" i="1"/>
  <c r="R269" i="1" s="1"/>
  <c r="Q270" i="1"/>
  <c r="T270" i="1" s="1"/>
  <c r="N270" i="1"/>
  <c r="N267" i="1" s="1"/>
  <c r="M270" i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R232" i="1" s="1"/>
  <c r="Q233" i="1"/>
  <c r="N233" i="1"/>
  <c r="N232" i="1" s="1"/>
  <c r="M233" i="1"/>
  <c r="L233" i="1"/>
  <c r="J231" i="1"/>
  <c r="I231" i="1"/>
  <c r="K231" i="1" s="1"/>
  <c r="J230" i="1"/>
  <c r="J185" i="1" s="1"/>
  <c r="I230" i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R223" i="1"/>
  <c r="Q223" i="1"/>
  <c r="Q222" i="1" s="1"/>
  <c r="N223" i="1"/>
  <c r="N222" i="1" s="1"/>
  <c r="M223" i="1"/>
  <c r="L223" i="1"/>
  <c r="J220" i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R214" i="1" s="1"/>
  <c r="Q215" i="1"/>
  <c r="N215" i="1"/>
  <c r="M215" i="1"/>
  <c r="L215" i="1"/>
  <c r="L214" i="1" s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L204" i="1"/>
  <c r="J201" i="1"/>
  <c r="J200" i="1"/>
  <c r="J198" i="1"/>
  <c r="I198" i="1"/>
  <c r="I195" i="1" s="1"/>
  <c r="S196" i="1"/>
  <c r="R196" i="1"/>
  <c r="Q196" i="1"/>
  <c r="N196" i="1"/>
  <c r="M196" i="1"/>
  <c r="L196" i="1"/>
  <c r="S194" i="1"/>
  <c r="R194" i="1"/>
  <c r="Q194" i="1"/>
  <c r="T194" i="1" s="1"/>
  <c r="N194" i="1"/>
  <c r="M194" i="1"/>
  <c r="P194" i="1" s="1"/>
  <c r="L194" i="1"/>
  <c r="O194" i="1" s="1"/>
  <c r="S193" i="1"/>
  <c r="R193" i="1"/>
  <c r="U193" i="1" s="1"/>
  <c r="Q193" i="1"/>
  <c r="T193" i="1" s="1"/>
  <c r="N193" i="1"/>
  <c r="M193" i="1"/>
  <c r="L193" i="1"/>
  <c r="O193" i="1" s="1"/>
  <c r="S191" i="1"/>
  <c r="R191" i="1"/>
  <c r="R188" i="1" s="1"/>
  <c r="Q191" i="1"/>
  <c r="N191" i="1"/>
  <c r="N188" i="1" s="1"/>
  <c r="M191" i="1"/>
  <c r="L191" i="1"/>
  <c r="S190" i="1"/>
  <c r="R190" i="1"/>
  <c r="U190" i="1" s="1"/>
  <c r="Q190" i="1"/>
  <c r="T190" i="1" s="1"/>
  <c r="N190" i="1"/>
  <c r="N189" i="1" s="1"/>
  <c r="M190" i="1"/>
  <c r="M187" i="1" s="1"/>
  <c r="L190" i="1"/>
  <c r="O190" i="1" s="1"/>
  <c r="K184" i="1"/>
  <c r="J183" i="1"/>
  <c r="J172" i="1" s="1"/>
  <c r="I183" i="1"/>
  <c r="I172" i="1" s="1"/>
  <c r="S181" i="1"/>
  <c r="R181" i="1"/>
  <c r="U181" i="1" s="1"/>
  <c r="Q181" i="1"/>
  <c r="N181" i="1"/>
  <c r="M181" i="1"/>
  <c r="P181" i="1" s="1"/>
  <c r="L181" i="1"/>
  <c r="O181" i="1" s="1"/>
  <c r="S180" i="1"/>
  <c r="R180" i="1"/>
  <c r="U180" i="1" s="1"/>
  <c r="Q180" i="1"/>
  <c r="N180" i="1"/>
  <c r="M180" i="1"/>
  <c r="P180" i="1" s="1"/>
  <c r="L180" i="1"/>
  <c r="O180" i="1" s="1"/>
  <c r="S178" i="1"/>
  <c r="R178" i="1"/>
  <c r="R175" i="1" s="1"/>
  <c r="Q178" i="1"/>
  <c r="N178" i="1"/>
  <c r="N175" i="1" s="1"/>
  <c r="M178" i="1"/>
  <c r="L178" i="1"/>
  <c r="S177" i="1"/>
  <c r="R177" i="1"/>
  <c r="U177" i="1" s="1"/>
  <c r="Q177" i="1"/>
  <c r="N177" i="1"/>
  <c r="M177" i="1"/>
  <c r="P177" i="1" s="1"/>
  <c r="L177" i="1"/>
  <c r="O177" i="1" s="1"/>
  <c r="J167" i="1"/>
  <c r="I167" i="1"/>
  <c r="I168" i="1" s="1"/>
  <c r="I169" i="1" s="1"/>
  <c r="K169" i="1" s="1"/>
  <c r="S165" i="1"/>
  <c r="R165" i="1"/>
  <c r="U165" i="1" s="1"/>
  <c r="Q165" i="1"/>
  <c r="N165" i="1"/>
  <c r="M165" i="1"/>
  <c r="P165" i="1" s="1"/>
  <c r="L165" i="1"/>
  <c r="S164" i="1"/>
  <c r="R164" i="1"/>
  <c r="U164" i="1" s="1"/>
  <c r="Q164" i="1"/>
  <c r="T164" i="1" s="1"/>
  <c r="N164" i="1"/>
  <c r="M164" i="1"/>
  <c r="P164" i="1" s="1"/>
  <c r="L164" i="1"/>
  <c r="S162" i="1"/>
  <c r="R162" i="1"/>
  <c r="Q162" i="1"/>
  <c r="N162" i="1"/>
  <c r="M162" i="1"/>
  <c r="L162" i="1"/>
  <c r="S161" i="1"/>
  <c r="R161" i="1"/>
  <c r="U161" i="1" s="1"/>
  <c r="Q161" i="1"/>
  <c r="Q158" i="1" s="1"/>
  <c r="T158" i="1" s="1"/>
  <c r="N161" i="1"/>
  <c r="M161" i="1"/>
  <c r="L161" i="1"/>
  <c r="O161" i="1" s="1"/>
  <c r="J156" i="1"/>
  <c r="J154" i="1"/>
  <c r="J136" i="1" s="1"/>
  <c r="I154" i="1"/>
  <c r="I136" i="1" s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Q147" i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M146" i="1"/>
  <c r="P146" i="1" s="1"/>
  <c r="L146" i="1"/>
  <c r="O146" i="1" s="1"/>
  <c r="S144" i="1"/>
  <c r="R144" i="1"/>
  <c r="Q144" i="1"/>
  <c r="N144" i="1"/>
  <c r="M144" i="1"/>
  <c r="L144" i="1"/>
  <c r="S143" i="1"/>
  <c r="R143" i="1"/>
  <c r="U143" i="1" s="1"/>
  <c r="Q143" i="1"/>
  <c r="T143" i="1" s="1"/>
  <c r="N143" i="1"/>
  <c r="M143" i="1"/>
  <c r="P143" i="1" s="1"/>
  <c r="L143" i="1"/>
  <c r="J130" i="1"/>
  <c r="I130" i="1"/>
  <c r="J129" i="1"/>
  <c r="I129" i="1"/>
  <c r="J128" i="1"/>
  <c r="I128" i="1"/>
  <c r="J127" i="1"/>
  <c r="J116" i="1" s="1"/>
  <c r="I127" i="1"/>
  <c r="S125" i="1"/>
  <c r="R125" i="1"/>
  <c r="Q125" i="1"/>
  <c r="N125" i="1"/>
  <c r="M125" i="1"/>
  <c r="L125" i="1"/>
  <c r="S124" i="1"/>
  <c r="R124" i="1"/>
  <c r="Q124" i="1"/>
  <c r="N124" i="1"/>
  <c r="M124" i="1"/>
  <c r="P124" i="1" s="1"/>
  <c r="L124" i="1"/>
  <c r="S122" i="1"/>
  <c r="S119" i="1" s="1"/>
  <c r="R122" i="1"/>
  <c r="Q122" i="1"/>
  <c r="N122" i="1"/>
  <c r="M122" i="1"/>
  <c r="L122" i="1"/>
  <c r="O122" i="1" s="1"/>
  <c r="S121" i="1"/>
  <c r="R121" i="1"/>
  <c r="Q121" i="1"/>
  <c r="T121" i="1" s="1"/>
  <c r="N121" i="1"/>
  <c r="M121" i="1"/>
  <c r="L121" i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U102" i="1" s="1"/>
  <c r="Q102" i="1"/>
  <c r="T102" i="1" s="1"/>
  <c r="N102" i="1"/>
  <c r="M102" i="1"/>
  <c r="P102" i="1" s="1"/>
  <c r="L102" i="1"/>
  <c r="O102" i="1" s="1"/>
  <c r="S101" i="1"/>
  <c r="R101" i="1"/>
  <c r="Q101" i="1"/>
  <c r="T101" i="1" s="1"/>
  <c r="N101" i="1"/>
  <c r="M101" i="1"/>
  <c r="L101" i="1"/>
  <c r="S99" i="1"/>
  <c r="R99" i="1"/>
  <c r="Q99" i="1"/>
  <c r="N99" i="1"/>
  <c r="M99" i="1"/>
  <c r="L99" i="1"/>
  <c r="S98" i="1"/>
  <c r="R98" i="1"/>
  <c r="Q98" i="1"/>
  <c r="T98" i="1" s="1"/>
  <c r="N98" i="1"/>
  <c r="M98" i="1"/>
  <c r="P98" i="1" s="1"/>
  <c r="L98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Q79" i="1"/>
  <c r="N79" i="1"/>
  <c r="M79" i="1"/>
  <c r="P79" i="1" s="1"/>
  <c r="L79" i="1"/>
  <c r="S77" i="1"/>
  <c r="R77" i="1"/>
  <c r="Q77" i="1"/>
  <c r="N77" i="1"/>
  <c r="M77" i="1"/>
  <c r="L77" i="1"/>
  <c r="S76" i="1"/>
  <c r="R76" i="1"/>
  <c r="Q76" i="1"/>
  <c r="T76" i="1" s="1"/>
  <c r="N76" i="1"/>
  <c r="M76" i="1"/>
  <c r="P76" i="1" s="1"/>
  <c r="L76" i="1"/>
  <c r="S67" i="1"/>
  <c r="R67" i="1"/>
  <c r="U67" i="1" s="1"/>
  <c r="Q67" i="1"/>
  <c r="T67" i="1" s="1"/>
  <c r="N67" i="1"/>
  <c r="M67" i="1"/>
  <c r="L67" i="1"/>
  <c r="S66" i="1"/>
  <c r="R66" i="1"/>
  <c r="Q66" i="1"/>
  <c r="N66" i="1"/>
  <c r="M66" i="1"/>
  <c r="P66" i="1" s="1"/>
  <c r="L66" i="1"/>
  <c r="S64" i="1"/>
  <c r="R64" i="1"/>
  <c r="U64" i="1" s="1"/>
  <c r="Q64" i="1"/>
  <c r="N64" i="1"/>
  <c r="N61" i="1" s="1"/>
  <c r="M64" i="1"/>
  <c r="M61" i="1" s="1"/>
  <c r="L64" i="1"/>
  <c r="S63" i="1"/>
  <c r="R63" i="1"/>
  <c r="R60" i="1" s="1"/>
  <c r="Q63" i="1"/>
  <c r="N63" i="1"/>
  <c r="M63" i="1"/>
  <c r="L63" i="1"/>
  <c r="S52" i="1"/>
  <c r="S50" i="1" s="1"/>
  <c r="R52" i="1"/>
  <c r="U52" i="1" s="1"/>
  <c r="Q52" i="1"/>
  <c r="Q50" i="1" s="1"/>
  <c r="T50" i="1" s="1"/>
  <c r="N52" i="1"/>
  <c r="N50" i="1" s="1"/>
  <c r="M52" i="1"/>
  <c r="P52" i="1" s="1"/>
  <c r="L52" i="1"/>
  <c r="U51" i="1"/>
  <c r="T51" i="1"/>
  <c r="P51" i="1"/>
  <c r="O51" i="1"/>
  <c r="S49" i="1"/>
  <c r="R49" i="1"/>
  <c r="U49" i="1" s="1"/>
  <c r="Q49" i="1"/>
  <c r="Q47" i="1" s="1"/>
  <c r="T47" i="1" s="1"/>
  <c r="N49" i="1"/>
  <c r="N47" i="1" s="1"/>
  <c r="M49" i="1"/>
  <c r="L49" i="1"/>
  <c r="L47" i="1" s="1"/>
  <c r="U48" i="1"/>
  <c r="T48" i="1"/>
  <c r="P48" i="1"/>
  <c r="O48" i="1"/>
  <c r="U45" i="1"/>
  <c r="S45" i="1"/>
  <c r="R45" i="1"/>
  <c r="Q45" i="1"/>
  <c r="P45" i="1"/>
  <c r="N45" i="1"/>
  <c r="M45" i="1"/>
  <c r="L45" i="1"/>
  <c r="Q203" i="1" l="1"/>
  <c r="M268" i="1"/>
  <c r="S378" i="1"/>
  <c r="M605" i="5"/>
  <c r="P605" i="5" s="1"/>
  <c r="M179" i="11"/>
  <c r="P179" i="11" s="1"/>
  <c r="M381" i="14"/>
  <c r="P381" i="14" s="1"/>
  <c r="Q763" i="1"/>
  <c r="M50" i="6"/>
  <c r="P50" i="6" s="1"/>
  <c r="N322" i="7"/>
  <c r="N320" i="7" s="1"/>
  <c r="M120" i="14"/>
  <c r="P120" i="14" s="1"/>
  <c r="M306" i="14"/>
  <c r="P306" i="14" s="1"/>
  <c r="N60" i="1"/>
  <c r="N59" i="1" s="1"/>
  <c r="M605" i="13"/>
  <c r="P605" i="13" s="1"/>
  <c r="N582" i="1"/>
  <c r="M605" i="7"/>
  <c r="P605" i="7" s="1"/>
  <c r="R203" i="1"/>
  <c r="R394" i="14"/>
  <c r="U394" i="14" s="1"/>
  <c r="M579" i="7"/>
  <c r="P579" i="7" s="1"/>
  <c r="S78" i="1"/>
  <c r="M75" i="7"/>
  <c r="P75" i="7" s="1"/>
  <c r="N192" i="1"/>
  <c r="M192" i="7"/>
  <c r="P192" i="7" s="1"/>
  <c r="M78" i="15"/>
  <c r="P78" i="15" s="1"/>
  <c r="R762" i="8"/>
  <c r="R760" i="8" s="1"/>
  <c r="N268" i="13"/>
  <c r="N266" i="13" s="1"/>
  <c r="L558" i="1"/>
  <c r="O558" i="1" s="1"/>
  <c r="S123" i="1"/>
  <c r="R272" i="1"/>
  <c r="U272" i="1" s="1"/>
  <c r="N46" i="11"/>
  <c r="N44" i="11" s="1"/>
  <c r="M285" i="6"/>
  <c r="P285" i="6" s="1"/>
  <c r="M378" i="13"/>
  <c r="P378" i="13" s="1"/>
  <c r="K229" i="15"/>
  <c r="M141" i="14"/>
  <c r="P141" i="14" s="1"/>
  <c r="M74" i="15"/>
  <c r="M72" i="15" s="1"/>
  <c r="M214" i="1"/>
  <c r="M339" i="13"/>
  <c r="P339" i="13" s="1"/>
  <c r="I758" i="15"/>
  <c r="K758" i="15" s="1"/>
  <c r="R141" i="1"/>
  <c r="L78" i="15"/>
  <c r="O78" i="15" s="1"/>
  <c r="L602" i="14"/>
  <c r="O602" i="14" s="1"/>
  <c r="N394" i="1"/>
  <c r="M74" i="14"/>
  <c r="M72" i="14" s="1"/>
  <c r="P72" i="14" s="1"/>
  <c r="I93" i="15"/>
  <c r="K93" i="15" s="1"/>
  <c r="M582" i="14"/>
  <c r="P582" i="14" s="1"/>
  <c r="M602" i="8"/>
  <c r="P602" i="8" s="1"/>
  <c r="M558" i="15"/>
  <c r="P558" i="15" s="1"/>
  <c r="S381" i="1"/>
  <c r="M561" i="7"/>
  <c r="P561" i="7" s="1"/>
  <c r="P361" i="14"/>
  <c r="O47" i="15"/>
  <c r="I492" i="14"/>
  <c r="K492" i="14" s="1"/>
  <c r="R605" i="14"/>
  <c r="U605" i="14" s="1"/>
  <c r="R644" i="11"/>
  <c r="R642" i="11" s="1"/>
  <c r="U642" i="11" s="1"/>
  <c r="N376" i="1"/>
  <c r="L188" i="7"/>
  <c r="L186" i="7" s="1"/>
  <c r="T99" i="15"/>
  <c r="I759" i="15"/>
  <c r="K759" i="15" s="1"/>
  <c r="Q96" i="15"/>
  <c r="Q94" i="15" s="1"/>
  <c r="I138" i="12"/>
  <c r="K138" i="12" s="1"/>
  <c r="R141" i="15"/>
  <c r="R139" i="15" s="1"/>
  <c r="Q601" i="15"/>
  <c r="T601" i="15" s="1"/>
  <c r="L74" i="11"/>
  <c r="O74" i="11" s="1"/>
  <c r="L235" i="14"/>
  <c r="M285" i="14"/>
  <c r="P285" i="14" s="1"/>
  <c r="L561" i="14"/>
  <c r="O561" i="14" s="1"/>
  <c r="L119" i="15"/>
  <c r="L117" i="15" s="1"/>
  <c r="O117" i="15" s="1"/>
  <c r="R145" i="15"/>
  <c r="U145" i="15" s="1"/>
  <c r="M100" i="15"/>
  <c r="P100" i="15" s="1"/>
  <c r="I116" i="15"/>
  <c r="K116" i="15" s="1"/>
  <c r="N119" i="15"/>
  <c r="N117" i="15" s="1"/>
  <c r="I136" i="15"/>
  <c r="K136" i="15" s="1"/>
  <c r="U142" i="15"/>
  <c r="J674" i="15"/>
  <c r="K780" i="15"/>
  <c r="N734" i="1"/>
  <c r="N74" i="14"/>
  <c r="N72" i="14" s="1"/>
  <c r="S159" i="15"/>
  <c r="S157" i="15" s="1"/>
  <c r="L192" i="7"/>
  <c r="O192" i="7" s="1"/>
  <c r="S416" i="12"/>
  <c r="R602" i="13"/>
  <c r="U602" i="13" s="1"/>
  <c r="I172" i="15"/>
  <c r="K172" i="15" s="1"/>
  <c r="K346" i="15"/>
  <c r="Q618" i="15"/>
  <c r="Q616" i="15" s="1"/>
  <c r="J675" i="13"/>
  <c r="O97" i="15"/>
  <c r="P361" i="15"/>
  <c r="R394" i="4"/>
  <c r="U394" i="4" s="1"/>
  <c r="R645" i="13"/>
  <c r="U645" i="13" s="1"/>
  <c r="K368" i="14"/>
  <c r="K371" i="14"/>
  <c r="K783" i="15"/>
  <c r="M561" i="14"/>
  <c r="P561" i="14" s="1"/>
  <c r="P162" i="15"/>
  <c r="N46" i="15"/>
  <c r="N44" i="15" s="1"/>
  <c r="L236" i="15"/>
  <c r="I302" i="15"/>
  <c r="K302" i="15" s="1"/>
  <c r="Q395" i="15"/>
  <c r="T395" i="15" s="1"/>
  <c r="S495" i="15"/>
  <c r="S493" i="15" s="1"/>
  <c r="L605" i="13"/>
  <c r="O605" i="13" s="1"/>
  <c r="T191" i="15"/>
  <c r="I202" i="15"/>
  <c r="K202" i="15" s="1"/>
  <c r="N322" i="15"/>
  <c r="N320" i="15" s="1"/>
  <c r="L326" i="15"/>
  <c r="O326" i="15" s="1"/>
  <c r="S415" i="15"/>
  <c r="S413" i="15" s="1"/>
  <c r="K441" i="15"/>
  <c r="M558" i="13"/>
  <c r="P558" i="13" s="1"/>
  <c r="T120" i="14"/>
  <c r="O178" i="15"/>
  <c r="U378" i="15"/>
  <c r="N323" i="7"/>
  <c r="O338" i="15"/>
  <c r="T498" i="15"/>
  <c r="L537" i="14"/>
  <c r="O537" i="14" s="1"/>
  <c r="M305" i="15"/>
  <c r="M303" i="15" s="1"/>
  <c r="P336" i="15"/>
  <c r="M557" i="15"/>
  <c r="P557" i="15" s="1"/>
  <c r="J689" i="15"/>
  <c r="L377" i="13"/>
  <c r="O377" i="13" s="1"/>
  <c r="I92" i="14"/>
  <c r="K92" i="14" s="1"/>
  <c r="L142" i="14"/>
  <c r="O142" i="14" s="1"/>
  <c r="O49" i="15"/>
  <c r="O62" i="15"/>
  <c r="N159" i="15"/>
  <c r="N157" i="15" s="1"/>
  <c r="L159" i="15"/>
  <c r="L157" i="15" s="1"/>
  <c r="P176" i="15"/>
  <c r="P290" i="15"/>
  <c r="K293" i="15"/>
  <c r="R305" i="15"/>
  <c r="R303" i="15" s="1"/>
  <c r="O325" i="15"/>
  <c r="N335" i="15"/>
  <c r="N333" i="15" s="1"/>
  <c r="Q377" i="15"/>
  <c r="Q375" i="15" s="1"/>
  <c r="Q394" i="15"/>
  <c r="Q392" i="15" s="1"/>
  <c r="T392" i="15" s="1"/>
  <c r="R395" i="15"/>
  <c r="U395" i="15" s="1"/>
  <c r="T621" i="15"/>
  <c r="S74" i="10"/>
  <c r="S72" i="10" s="1"/>
  <c r="M74" i="13"/>
  <c r="P74" i="13" s="1"/>
  <c r="L236" i="13"/>
  <c r="M75" i="15"/>
  <c r="P75" i="15" s="1"/>
  <c r="O75" i="15"/>
  <c r="T194" i="15"/>
  <c r="S305" i="15"/>
  <c r="S303" i="15" s="1"/>
  <c r="P323" i="15"/>
  <c r="R377" i="15"/>
  <c r="R375" i="15" s="1"/>
  <c r="L377" i="15"/>
  <c r="L375" i="15" s="1"/>
  <c r="O375" i="15" s="1"/>
  <c r="R394" i="15"/>
  <c r="U394" i="15" s="1"/>
  <c r="N495" i="15"/>
  <c r="N493" i="15" s="1"/>
  <c r="N557" i="15"/>
  <c r="N555" i="15" s="1"/>
  <c r="P581" i="15"/>
  <c r="M537" i="14"/>
  <c r="P537" i="14" s="1"/>
  <c r="S642" i="15"/>
  <c r="I253" i="14"/>
  <c r="K253" i="14" s="1"/>
  <c r="I156" i="15"/>
  <c r="K156" i="15" s="1"/>
  <c r="M160" i="15"/>
  <c r="P160" i="15" s="1"/>
  <c r="O160" i="15"/>
  <c r="L305" i="14"/>
  <c r="O305" i="14" s="1"/>
  <c r="J374" i="14"/>
  <c r="Q189" i="15"/>
  <c r="T189" i="15" s="1"/>
  <c r="N284" i="15"/>
  <c r="N282" i="15" s="1"/>
  <c r="M358" i="15"/>
  <c r="M356" i="15" s="1"/>
  <c r="L362" i="15"/>
  <c r="O362" i="15" s="1"/>
  <c r="J374" i="15"/>
  <c r="K785" i="12"/>
  <c r="M578" i="14"/>
  <c r="P578" i="14" s="1"/>
  <c r="M123" i="15"/>
  <c r="P123" i="15" s="1"/>
  <c r="L358" i="15"/>
  <c r="N339" i="15"/>
  <c r="I93" i="12"/>
  <c r="K93" i="12" s="1"/>
  <c r="L234" i="13"/>
  <c r="O125" i="14"/>
  <c r="L536" i="14"/>
  <c r="Q141" i="15"/>
  <c r="Q139" i="15" s="1"/>
  <c r="U144" i="15"/>
  <c r="N175" i="15"/>
  <c r="N173" i="15" s="1"/>
  <c r="N188" i="15"/>
  <c r="N186" i="15" s="1"/>
  <c r="P341" i="15"/>
  <c r="O383" i="15"/>
  <c r="I374" i="15"/>
  <c r="L415" i="15"/>
  <c r="L413" i="15" s="1"/>
  <c r="P563" i="15"/>
  <c r="N578" i="15"/>
  <c r="N576" i="15" s="1"/>
  <c r="M579" i="15"/>
  <c r="P579" i="15" s="1"/>
  <c r="T604" i="15"/>
  <c r="T607" i="15"/>
  <c r="S618" i="15"/>
  <c r="S616" i="15" s="1"/>
  <c r="S619" i="15"/>
  <c r="T619" i="15" s="1"/>
  <c r="K705" i="15"/>
  <c r="S175" i="10"/>
  <c r="S173" i="10" s="1"/>
  <c r="I221" i="13"/>
  <c r="K221" i="13" s="1"/>
  <c r="L284" i="14"/>
  <c r="O284" i="14" s="1"/>
  <c r="L74" i="15"/>
  <c r="L72" i="15" s="1"/>
  <c r="S97" i="15"/>
  <c r="T97" i="15" s="1"/>
  <c r="P99" i="15"/>
  <c r="M120" i="15"/>
  <c r="P120" i="15" s="1"/>
  <c r="I238" i="15"/>
  <c r="K238" i="15" s="1"/>
  <c r="J343" i="15"/>
  <c r="P383" i="15"/>
  <c r="M419" i="15"/>
  <c r="P419" i="15" s="1"/>
  <c r="L537" i="15"/>
  <c r="O537" i="15" s="1"/>
  <c r="N561" i="15"/>
  <c r="S645" i="15"/>
  <c r="S693" i="15"/>
  <c r="U693" i="15" s="1"/>
  <c r="S730" i="15"/>
  <c r="S728" i="15" s="1"/>
  <c r="N26" i="14"/>
  <c r="N24" i="14" s="1"/>
  <c r="T122" i="14"/>
  <c r="L288" i="14"/>
  <c r="O288" i="14" s="1"/>
  <c r="O77" i="15"/>
  <c r="R176" i="15"/>
  <c r="M309" i="15"/>
  <c r="P309" i="15" s="1"/>
  <c r="K368" i="15"/>
  <c r="O380" i="15"/>
  <c r="P418" i="15"/>
  <c r="K440" i="15"/>
  <c r="P496" i="15"/>
  <c r="O518" i="15"/>
  <c r="T695" i="15"/>
  <c r="K709" i="15"/>
  <c r="K727" i="15"/>
  <c r="M46" i="11"/>
  <c r="M44" i="11" s="1"/>
  <c r="I302" i="12"/>
  <c r="K302" i="12" s="1"/>
  <c r="Q145" i="14"/>
  <c r="T145" i="14" s="1"/>
  <c r="J674" i="14"/>
  <c r="S74" i="15"/>
  <c r="S72" i="15" s="1"/>
  <c r="N96" i="15"/>
  <c r="N94" i="15" s="1"/>
  <c r="R159" i="15"/>
  <c r="R157" i="15" s="1"/>
  <c r="U157" i="15" s="1"/>
  <c r="L235" i="15"/>
  <c r="N26" i="15"/>
  <c r="N24" i="15" s="1"/>
  <c r="Q306" i="15"/>
  <c r="T306" i="15" s="1"/>
  <c r="S159" i="13"/>
  <c r="S157" i="13" s="1"/>
  <c r="L272" i="14"/>
  <c r="O272" i="14" s="1"/>
  <c r="M557" i="14"/>
  <c r="M555" i="14" s="1"/>
  <c r="P555" i="14" s="1"/>
  <c r="U77" i="15"/>
  <c r="L234" i="15"/>
  <c r="L305" i="15"/>
  <c r="L303" i="15" s="1"/>
  <c r="P308" i="15"/>
  <c r="K485" i="15"/>
  <c r="U621" i="15"/>
  <c r="S97" i="14"/>
  <c r="S96" i="14"/>
  <c r="S94" i="14" s="1"/>
  <c r="S377" i="14"/>
  <c r="S375" i="14" s="1"/>
  <c r="S378" i="14"/>
  <c r="L100" i="15"/>
  <c r="O100" i="15" s="1"/>
  <c r="O102" i="15"/>
  <c r="L26" i="15"/>
  <c r="O26" i="15" s="1"/>
  <c r="L96" i="15"/>
  <c r="L94" i="15" s="1"/>
  <c r="M272" i="10"/>
  <c r="P272" i="10" s="1"/>
  <c r="M268" i="10"/>
  <c r="L23" i="15"/>
  <c r="R97" i="15"/>
  <c r="R96" i="15"/>
  <c r="R94" i="15" s="1"/>
  <c r="R23" i="15"/>
  <c r="R21" i="15" s="1"/>
  <c r="N141" i="15"/>
  <c r="N139" i="15" s="1"/>
  <c r="N142" i="15"/>
  <c r="P142" i="15" s="1"/>
  <c r="L254" i="15"/>
  <c r="O254" i="15" s="1"/>
  <c r="P274" i="14"/>
  <c r="M272" i="14"/>
  <c r="P272" i="14" s="1"/>
  <c r="P67" i="15"/>
  <c r="M26" i="15"/>
  <c r="P26" i="15" s="1"/>
  <c r="M65" i="15"/>
  <c r="P65" i="15" s="1"/>
  <c r="U80" i="15"/>
  <c r="R78" i="15"/>
  <c r="U78" i="15" s="1"/>
  <c r="T125" i="15"/>
  <c r="Q123" i="15"/>
  <c r="T123" i="15" s="1"/>
  <c r="K152" i="15"/>
  <c r="I137" i="15"/>
  <c r="K137" i="15" s="1"/>
  <c r="T162" i="15"/>
  <c r="Q160" i="15"/>
  <c r="T160" i="15" s="1"/>
  <c r="Q159" i="15"/>
  <c r="T159" i="15" s="1"/>
  <c r="S192" i="15"/>
  <c r="S26" i="15"/>
  <c r="S24" i="15" s="1"/>
  <c r="Q145" i="15"/>
  <c r="T145" i="15" s="1"/>
  <c r="T147" i="15"/>
  <c r="M175" i="15"/>
  <c r="M173" i="15" s="1"/>
  <c r="P181" i="15"/>
  <c r="M179" i="15"/>
  <c r="P179" i="15" s="1"/>
  <c r="O194" i="15"/>
  <c r="L192" i="15"/>
  <c r="O192" i="15" s="1"/>
  <c r="R26" i="15"/>
  <c r="S23" i="15"/>
  <c r="S21" i="15" s="1"/>
  <c r="S119" i="15"/>
  <c r="S117" i="15" s="1"/>
  <c r="S120" i="15"/>
  <c r="T120" i="15" s="1"/>
  <c r="L175" i="15"/>
  <c r="L119" i="14"/>
  <c r="L117" i="14" s="1"/>
  <c r="O117" i="14" s="1"/>
  <c r="L120" i="14"/>
  <c r="O120" i="14" s="1"/>
  <c r="K249" i="14"/>
  <c r="I242" i="14"/>
  <c r="K242" i="14" s="1"/>
  <c r="I238" i="14"/>
  <c r="K238" i="14" s="1"/>
  <c r="P49" i="15"/>
  <c r="M47" i="15"/>
  <c r="P47" i="15" s="1"/>
  <c r="M23" i="15"/>
  <c r="I92" i="15"/>
  <c r="K92" i="15" s="1"/>
  <c r="K108" i="15"/>
  <c r="L120" i="15"/>
  <c r="O120" i="15" s="1"/>
  <c r="O122" i="15"/>
  <c r="S175" i="15"/>
  <c r="S173" i="15" s="1"/>
  <c r="S176" i="15"/>
  <c r="L96" i="13"/>
  <c r="L94" i="13" s="1"/>
  <c r="Q141" i="13"/>
  <c r="Q139" i="13" s="1"/>
  <c r="M285" i="13"/>
  <c r="P285" i="13" s="1"/>
  <c r="U120" i="14"/>
  <c r="R269" i="14"/>
  <c r="U269" i="14" s="1"/>
  <c r="M268" i="14"/>
  <c r="M266" i="14" s="1"/>
  <c r="L362" i="14"/>
  <c r="O362" i="14" s="1"/>
  <c r="L377" i="14"/>
  <c r="L375" i="14" s="1"/>
  <c r="O375" i="14" s="1"/>
  <c r="K727" i="14"/>
  <c r="Q23" i="15"/>
  <c r="T142" i="15"/>
  <c r="L214" i="15"/>
  <c r="O214" i="15" s="1"/>
  <c r="N268" i="15"/>
  <c r="N266" i="15" s="1"/>
  <c r="M326" i="15"/>
  <c r="P326" i="15" s="1"/>
  <c r="M415" i="15"/>
  <c r="M416" i="15"/>
  <c r="P416" i="15" s="1"/>
  <c r="U416" i="15"/>
  <c r="K432" i="15"/>
  <c r="Q495" i="15"/>
  <c r="Q493" i="15" s="1"/>
  <c r="M495" i="15"/>
  <c r="L561" i="15"/>
  <c r="O561" i="15" s="1"/>
  <c r="L602" i="15"/>
  <c r="O602" i="15" s="1"/>
  <c r="U604" i="15"/>
  <c r="N272" i="15"/>
  <c r="L499" i="15"/>
  <c r="O499" i="15" s="1"/>
  <c r="I319" i="12"/>
  <c r="K319" i="12" s="1"/>
  <c r="Q159" i="13"/>
  <c r="T159" i="13" s="1"/>
  <c r="R268" i="13"/>
  <c r="R266" i="13" s="1"/>
  <c r="I492" i="13"/>
  <c r="K492" i="13" s="1"/>
  <c r="P99" i="14"/>
  <c r="N141" i="14"/>
  <c r="N139" i="14" s="1"/>
  <c r="L188" i="14"/>
  <c r="L186" i="14" s="1"/>
  <c r="O338" i="14"/>
  <c r="N358" i="14"/>
  <c r="N356" i="14" s="1"/>
  <c r="N515" i="14"/>
  <c r="N513" i="14" s="1"/>
  <c r="I168" i="15"/>
  <c r="K168" i="15" s="1"/>
  <c r="R188" i="15"/>
  <c r="R186" i="15" s="1"/>
  <c r="I195" i="15"/>
  <c r="K195" i="15" s="1"/>
  <c r="T271" i="15"/>
  <c r="M284" i="15"/>
  <c r="M282" i="15" s="1"/>
  <c r="P285" i="15"/>
  <c r="P287" i="15"/>
  <c r="U306" i="15"/>
  <c r="J332" i="15"/>
  <c r="K332" i="15" s="1"/>
  <c r="L336" i="15"/>
  <c r="O336" i="15" s="1"/>
  <c r="J351" i="15"/>
  <c r="M362" i="15"/>
  <c r="P362" i="15" s="1"/>
  <c r="N415" i="15"/>
  <c r="N413" i="15" s="1"/>
  <c r="O416" i="15"/>
  <c r="K424" i="15"/>
  <c r="R495" i="15"/>
  <c r="R493" i="15" s="1"/>
  <c r="P498" i="15"/>
  <c r="N515" i="15"/>
  <c r="N513" i="15" s="1"/>
  <c r="M516" i="15"/>
  <c r="P516" i="15" s="1"/>
  <c r="P604" i="15"/>
  <c r="K779" i="15"/>
  <c r="K782" i="15"/>
  <c r="K785" i="15"/>
  <c r="M537" i="13"/>
  <c r="P537" i="13" s="1"/>
  <c r="N46" i="14"/>
  <c r="N44" i="14" s="1"/>
  <c r="Q495" i="14"/>
  <c r="T495" i="14" s="1"/>
  <c r="U75" i="15"/>
  <c r="I83" i="15"/>
  <c r="K83" i="15" s="1"/>
  <c r="U125" i="15"/>
  <c r="U162" i="15"/>
  <c r="I169" i="15"/>
  <c r="K169" i="15" s="1"/>
  <c r="P178" i="15"/>
  <c r="P194" i="15"/>
  <c r="M268" i="15"/>
  <c r="M266" i="15" s="1"/>
  <c r="N306" i="15"/>
  <c r="P306" i="15" s="1"/>
  <c r="L322" i="15"/>
  <c r="L320" i="15" s="1"/>
  <c r="L323" i="15"/>
  <c r="O323" i="15" s="1"/>
  <c r="L578" i="15"/>
  <c r="O584" i="15"/>
  <c r="T763" i="15"/>
  <c r="Q692" i="12"/>
  <c r="T692" i="12" s="1"/>
  <c r="N305" i="14"/>
  <c r="N303" i="14" s="1"/>
  <c r="T380" i="14"/>
  <c r="P62" i="15"/>
  <c r="R74" i="15"/>
  <c r="P77" i="15"/>
  <c r="O99" i="15"/>
  <c r="T144" i="15"/>
  <c r="Q188" i="15"/>
  <c r="Q186" i="15" s="1"/>
  <c r="O191" i="15"/>
  <c r="L203" i="15"/>
  <c r="O203" i="15" s="1"/>
  <c r="R268" i="15"/>
  <c r="R266" i="15" s="1"/>
  <c r="T269" i="15"/>
  <c r="O308" i="15"/>
  <c r="T308" i="15"/>
  <c r="M359" i="15"/>
  <c r="P359" i="15" s="1"/>
  <c r="K365" i="15"/>
  <c r="Q415" i="15"/>
  <c r="Q413" i="15" s="1"/>
  <c r="U496" i="15"/>
  <c r="M537" i="15"/>
  <c r="P537" i="15" s="1"/>
  <c r="N536" i="15"/>
  <c r="N534" i="15" s="1"/>
  <c r="N601" i="15"/>
  <c r="N599" i="15" s="1"/>
  <c r="Q602" i="15"/>
  <c r="T602" i="15" s="1"/>
  <c r="L601" i="15"/>
  <c r="O601" i="15" s="1"/>
  <c r="J675" i="15"/>
  <c r="T765" i="15"/>
  <c r="U99" i="14"/>
  <c r="U122" i="14"/>
  <c r="L141" i="14"/>
  <c r="O141" i="14" s="1"/>
  <c r="S141" i="14"/>
  <c r="S139" i="14" s="1"/>
  <c r="Q176" i="14"/>
  <c r="T176" i="14" s="1"/>
  <c r="S188" i="14"/>
  <c r="S186" i="14" s="1"/>
  <c r="K778" i="14"/>
  <c r="K781" i="14"/>
  <c r="K784" i="14"/>
  <c r="Q26" i="15"/>
  <c r="S96" i="15"/>
  <c r="P147" i="15"/>
  <c r="O162" i="15"/>
  <c r="L222" i="15"/>
  <c r="O222" i="15" s="1"/>
  <c r="L243" i="15"/>
  <c r="U271" i="15"/>
  <c r="I281" i="15"/>
  <c r="K281" i="15" s="1"/>
  <c r="O287" i="15"/>
  <c r="L309" i="15"/>
  <c r="O309" i="15" s="1"/>
  <c r="I319" i="15"/>
  <c r="K319" i="15" s="1"/>
  <c r="K369" i="15"/>
  <c r="S395" i="15"/>
  <c r="R415" i="15"/>
  <c r="R413" i="15" s="1"/>
  <c r="L495" i="15"/>
  <c r="L493" i="15" s="1"/>
  <c r="O496" i="15"/>
  <c r="P521" i="15"/>
  <c r="N537" i="15"/>
  <c r="O581" i="15"/>
  <c r="R618" i="15"/>
  <c r="R616" i="15" s="1"/>
  <c r="K626" i="15"/>
  <c r="J701" i="15"/>
  <c r="U763" i="15"/>
  <c r="R173" i="15"/>
  <c r="S415" i="13"/>
  <c r="S413" i="13" s="1"/>
  <c r="Q762" i="13"/>
  <c r="T762" i="13" s="1"/>
  <c r="K780" i="13"/>
  <c r="L78" i="14"/>
  <c r="O78" i="14" s="1"/>
  <c r="I93" i="14"/>
  <c r="K93" i="14" s="1"/>
  <c r="O99" i="14"/>
  <c r="M100" i="14"/>
  <c r="P100" i="14" s="1"/>
  <c r="O122" i="14"/>
  <c r="R123" i="14"/>
  <c r="U123" i="14" s="1"/>
  <c r="T125" i="14"/>
  <c r="S160" i="14"/>
  <c r="S175" i="14"/>
  <c r="S173" i="14" s="1"/>
  <c r="O178" i="14"/>
  <c r="L179" i="14"/>
  <c r="O179" i="14" s="1"/>
  <c r="L222" i="14"/>
  <c r="O222" i="14" s="1"/>
  <c r="S306" i="14"/>
  <c r="N322" i="14"/>
  <c r="N320" i="14" s="1"/>
  <c r="J351" i="14"/>
  <c r="Q377" i="14"/>
  <c r="Q375" i="14" s="1"/>
  <c r="M579" i="14"/>
  <c r="P579" i="14" s="1"/>
  <c r="S601" i="14"/>
  <c r="S599" i="14" s="1"/>
  <c r="J675" i="14"/>
  <c r="K705" i="14"/>
  <c r="M19" i="15"/>
  <c r="P52" i="15"/>
  <c r="T77" i="15"/>
  <c r="Q78" i="15"/>
  <c r="T78" i="15" s="1"/>
  <c r="I82" i="15"/>
  <c r="K87" i="15"/>
  <c r="M97" i="15"/>
  <c r="P97" i="15" s="1"/>
  <c r="U99" i="15"/>
  <c r="R119" i="15"/>
  <c r="T122" i="15"/>
  <c r="O125" i="15"/>
  <c r="I138" i="15"/>
  <c r="K138" i="15" s="1"/>
  <c r="M141" i="15"/>
  <c r="O144" i="15"/>
  <c r="M159" i="15"/>
  <c r="L176" i="15"/>
  <c r="O176" i="15" s="1"/>
  <c r="U178" i="15"/>
  <c r="L179" i="15"/>
  <c r="O179" i="15" s="1"/>
  <c r="O181" i="15"/>
  <c r="P191" i="15"/>
  <c r="N189" i="15"/>
  <c r="P189" i="15" s="1"/>
  <c r="Q192" i="14"/>
  <c r="T192" i="14" s="1"/>
  <c r="O271" i="14"/>
  <c r="L495" i="14"/>
  <c r="L493" i="14" s="1"/>
  <c r="O493" i="14" s="1"/>
  <c r="N516" i="14"/>
  <c r="Q303" i="15"/>
  <c r="N119" i="14"/>
  <c r="N117" i="14" s="1"/>
  <c r="K183" i="14"/>
  <c r="N188" i="14"/>
  <c r="N186" i="14" s="1"/>
  <c r="N284" i="14"/>
  <c r="N282" i="14" s="1"/>
  <c r="N359" i="14"/>
  <c r="P359" i="14" s="1"/>
  <c r="R395" i="14"/>
  <c r="U395" i="14" s="1"/>
  <c r="K456" i="14"/>
  <c r="O560" i="14"/>
  <c r="J701" i="14"/>
  <c r="S731" i="14"/>
  <c r="U731" i="14" s="1"/>
  <c r="M61" i="15"/>
  <c r="O64" i="15"/>
  <c r="O67" i="15"/>
  <c r="L61" i="15"/>
  <c r="N74" i="15"/>
  <c r="Q75" i="15"/>
  <c r="T75" i="15" s="1"/>
  <c r="M119" i="15"/>
  <c r="L145" i="15"/>
  <c r="O145" i="15" s="1"/>
  <c r="M163" i="15"/>
  <c r="P163" i="15" s="1"/>
  <c r="L163" i="15"/>
  <c r="O163" i="15" s="1"/>
  <c r="O165" i="15"/>
  <c r="L188" i="15"/>
  <c r="L189" i="15"/>
  <c r="R189" i="15"/>
  <c r="U189" i="15" s="1"/>
  <c r="U191" i="15"/>
  <c r="R75" i="13"/>
  <c r="U75" i="13" s="1"/>
  <c r="L557" i="14"/>
  <c r="O557" i="14" s="1"/>
  <c r="R619" i="14"/>
  <c r="P22" i="15"/>
  <c r="M46" i="15"/>
  <c r="O52" i="15"/>
  <c r="L46" i="15"/>
  <c r="N61" i="15"/>
  <c r="N59" i="15" s="1"/>
  <c r="P64" i="15"/>
  <c r="U122" i="15"/>
  <c r="P144" i="15"/>
  <c r="T178" i="15"/>
  <c r="Q176" i="15"/>
  <c r="Q175" i="15"/>
  <c r="U269" i="15"/>
  <c r="Q763" i="13"/>
  <c r="T763" i="13" s="1"/>
  <c r="Q601" i="14"/>
  <c r="Q599" i="14" s="1"/>
  <c r="T599" i="14" s="1"/>
  <c r="K785" i="14"/>
  <c r="N23" i="15"/>
  <c r="T73" i="15"/>
  <c r="T80" i="15"/>
  <c r="O95" i="15"/>
  <c r="M96" i="15"/>
  <c r="T140" i="15"/>
  <c r="T191" i="13"/>
  <c r="O64" i="14"/>
  <c r="S119" i="14"/>
  <c r="S117" i="14" s="1"/>
  <c r="K152" i="14"/>
  <c r="R160" i="14"/>
  <c r="U160" i="14" s="1"/>
  <c r="R175" i="14"/>
  <c r="R173" i="14" s="1"/>
  <c r="U173" i="14" s="1"/>
  <c r="O361" i="14"/>
  <c r="L19" i="15"/>
  <c r="S19" i="15"/>
  <c r="Q74" i="15"/>
  <c r="Q119" i="15"/>
  <c r="L141" i="15"/>
  <c r="S141" i="15"/>
  <c r="U194" i="15"/>
  <c r="L233" i="15"/>
  <c r="I265" i="15"/>
  <c r="K265" i="15" s="1"/>
  <c r="Q268" i="15"/>
  <c r="N269" i="15"/>
  <c r="O269" i="15" s="1"/>
  <c r="P271" i="15"/>
  <c r="O274" i="15"/>
  <c r="S282" i="15"/>
  <c r="L285" i="15"/>
  <c r="O285" i="15" s="1"/>
  <c r="O290" i="15"/>
  <c r="P334" i="15"/>
  <c r="M335" i="15"/>
  <c r="P338" i="15"/>
  <c r="Q356" i="15"/>
  <c r="T356" i="15" s="1"/>
  <c r="T357" i="15"/>
  <c r="N358" i="15"/>
  <c r="N356" i="15" s="1"/>
  <c r="O361" i="15"/>
  <c r="L359" i="15"/>
  <c r="O359" i="15" s="1"/>
  <c r="K371" i="15"/>
  <c r="T380" i="15"/>
  <c r="T416" i="15"/>
  <c r="K458" i="15"/>
  <c r="T644" i="15"/>
  <c r="Q642" i="15"/>
  <c r="T642" i="15" s="1"/>
  <c r="U380" i="15"/>
  <c r="M188" i="15"/>
  <c r="S188" i="15"/>
  <c r="K249" i="15"/>
  <c r="L268" i="15"/>
  <c r="L266" i="15" s="1"/>
  <c r="S268" i="15"/>
  <c r="S266" i="15" s="1"/>
  <c r="O271" i="15"/>
  <c r="M272" i="15"/>
  <c r="P272" i="15" s="1"/>
  <c r="L284" i="15"/>
  <c r="U308" i="15"/>
  <c r="R320" i="15"/>
  <c r="U320" i="15" s="1"/>
  <c r="M322" i="15"/>
  <c r="P376" i="15"/>
  <c r="P380" i="15"/>
  <c r="I242" i="15"/>
  <c r="K260" i="15"/>
  <c r="I253" i="15"/>
  <c r="K253" i="15" s="1"/>
  <c r="R282" i="15"/>
  <c r="U282" i="15" s="1"/>
  <c r="P283" i="15"/>
  <c r="N305" i="15"/>
  <c r="U357" i="15"/>
  <c r="M377" i="15"/>
  <c r="P377" i="15" s="1"/>
  <c r="S377" i="15"/>
  <c r="T378" i="15"/>
  <c r="J456" i="15"/>
  <c r="K457" i="15"/>
  <c r="J231" i="15"/>
  <c r="J185" i="15" s="1"/>
  <c r="P325" i="15"/>
  <c r="O341" i="15"/>
  <c r="L335" i="15"/>
  <c r="O357" i="15"/>
  <c r="N377" i="15"/>
  <c r="N375" i="15" s="1"/>
  <c r="K386" i="15"/>
  <c r="K456" i="15"/>
  <c r="K220" i="15"/>
  <c r="I213" i="15"/>
  <c r="K213" i="15" s="1"/>
  <c r="I412" i="15"/>
  <c r="K412" i="15" s="1"/>
  <c r="K423" i="15"/>
  <c r="T418" i="15"/>
  <c r="J423" i="15"/>
  <c r="J412" i="15" s="1"/>
  <c r="U498" i="15"/>
  <c r="P501" i="15"/>
  <c r="R513" i="15"/>
  <c r="U513" i="15" s="1"/>
  <c r="O514" i="15"/>
  <c r="M515" i="15"/>
  <c r="P515" i="15" s="1"/>
  <c r="O521" i="15"/>
  <c r="L515" i="15"/>
  <c r="O515" i="15" s="1"/>
  <c r="L557" i="15"/>
  <c r="O557" i="15" s="1"/>
  <c r="T600" i="15"/>
  <c r="O607" i="15"/>
  <c r="U607" i="15"/>
  <c r="Q645" i="15"/>
  <c r="T645" i="15" s="1"/>
  <c r="T647" i="15"/>
  <c r="N690" i="15"/>
  <c r="U691" i="15"/>
  <c r="Q692" i="15"/>
  <c r="I689" i="15"/>
  <c r="K689" i="15" s="1"/>
  <c r="U731" i="15"/>
  <c r="O418" i="15"/>
  <c r="U418" i="15"/>
  <c r="O421" i="15"/>
  <c r="Q496" i="15"/>
  <c r="T496" i="15" s="1"/>
  <c r="O498" i="15"/>
  <c r="O542" i="15"/>
  <c r="O560" i="15"/>
  <c r="R576" i="15"/>
  <c r="U576" i="15" s="1"/>
  <c r="O577" i="15"/>
  <c r="R601" i="15"/>
  <c r="U601" i="15" s="1"/>
  <c r="P607" i="15"/>
  <c r="I615" i="15"/>
  <c r="K615" i="15" s="1"/>
  <c r="Q693" i="15"/>
  <c r="L714" i="15"/>
  <c r="O714" i="15" s="1"/>
  <c r="O715" i="15"/>
  <c r="M499" i="15"/>
  <c r="P499" i="15" s="1"/>
  <c r="P584" i="15"/>
  <c r="M578" i="15"/>
  <c r="M601" i="15"/>
  <c r="P601" i="15" s="1"/>
  <c r="S601" i="15"/>
  <c r="S599" i="15" s="1"/>
  <c r="K630" i="15"/>
  <c r="P715" i="15"/>
  <c r="M714" i="15"/>
  <c r="P714" i="15" s="1"/>
  <c r="K631" i="15"/>
  <c r="U647" i="15"/>
  <c r="R644" i="15"/>
  <c r="U644" i="15" s="1"/>
  <c r="I701" i="15"/>
  <c r="I492" i="15"/>
  <c r="K492" i="15" s="1"/>
  <c r="L536" i="15"/>
  <c r="O536" i="15" s="1"/>
  <c r="P542" i="15"/>
  <c r="M536" i="15"/>
  <c r="P536" i="15" s="1"/>
  <c r="Q555" i="15"/>
  <c r="T555" i="15" s="1"/>
  <c r="U556" i="15"/>
  <c r="O579" i="15"/>
  <c r="K632" i="15"/>
  <c r="N642" i="15"/>
  <c r="U695" i="15"/>
  <c r="R692" i="15"/>
  <c r="U692" i="15" s="1"/>
  <c r="J702" i="15"/>
  <c r="R714" i="15"/>
  <c r="U714" i="15" s="1"/>
  <c r="U715" i="15"/>
  <c r="T731" i="15"/>
  <c r="M728" i="15"/>
  <c r="P728" i="15" s="1"/>
  <c r="O729" i="15"/>
  <c r="U729" i="15"/>
  <c r="Q730" i="15"/>
  <c r="T733" i="15"/>
  <c r="P761" i="15"/>
  <c r="R762" i="15"/>
  <c r="U765" i="15"/>
  <c r="R730" i="15"/>
  <c r="U733" i="15"/>
  <c r="S762" i="15"/>
  <c r="S760" i="15" s="1"/>
  <c r="Q762" i="15"/>
  <c r="O328" i="14"/>
  <c r="L326" i="14"/>
  <c r="O326" i="14" s="1"/>
  <c r="M203" i="1"/>
  <c r="Q269" i="13"/>
  <c r="L306" i="13"/>
  <c r="O306" i="13" s="1"/>
  <c r="S377" i="13"/>
  <c r="S375" i="13" s="1"/>
  <c r="U418" i="13"/>
  <c r="S495" i="13"/>
  <c r="S493" i="13" s="1"/>
  <c r="L499" i="13"/>
  <c r="O499" i="13" s="1"/>
  <c r="U695" i="13"/>
  <c r="S760" i="13"/>
  <c r="P49" i="14"/>
  <c r="L65" i="14"/>
  <c r="O65" i="14" s="1"/>
  <c r="P67" i="14"/>
  <c r="I83" i="14"/>
  <c r="I71" i="14" s="1"/>
  <c r="K71" i="14" s="1"/>
  <c r="M97" i="14"/>
  <c r="P97" i="14" s="1"/>
  <c r="P147" i="14"/>
  <c r="Q160" i="14"/>
  <c r="T160" i="14" s="1"/>
  <c r="N175" i="14"/>
  <c r="N173" i="14" s="1"/>
  <c r="S395" i="14"/>
  <c r="S394" i="14"/>
  <c r="S392" i="14" s="1"/>
  <c r="P542" i="14"/>
  <c r="M540" i="14"/>
  <c r="P540" i="14" s="1"/>
  <c r="S496" i="8"/>
  <c r="N268" i="9"/>
  <c r="K346" i="13"/>
  <c r="R496" i="13"/>
  <c r="U496" i="13" s="1"/>
  <c r="O49" i="14"/>
  <c r="I82" i="14"/>
  <c r="K82" i="14" s="1"/>
  <c r="L100" i="14"/>
  <c r="O100" i="14" s="1"/>
  <c r="R142" i="14"/>
  <c r="U142" i="14" s="1"/>
  <c r="N145" i="14"/>
  <c r="L159" i="14"/>
  <c r="Q175" i="14"/>
  <c r="Q75" i="14"/>
  <c r="T75" i="14" s="1"/>
  <c r="Q78" i="14"/>
  <c r="T78" i="14" s="1"/>
  <c r="L163" i="14"/>
  <c r="O163" i="14" s="1"/>
  <c r="I302" i="14"/>
  <c r="K302" i="14" s="1"/>
  <c r="K314" i="14"/>
  <c r="S416" i="14"/>
  <c r="U416" i="14" s="1"/>
  <c r="S415" i="14"/>
  <c r="S413" i="14" s="1"/>
  <c r="O62" i="12"/>
  <c r="M119" i="13"/>
  <c r="P119" i="13" s="1"/>
  <c r="Q123" i="13"/>
  <c r="T123" i="13" s="1"/>
  <c r="J351" i="13"/>
  <c r="T378" i="13"/>
  <c r="R693" i="13"/>
  <c r="J689" i="13"/>
  <c r="U765" i="13"/>
  <c r="K781" i="13"/>
  <c r="Q23" i="14"/>
  <c r="Q21" i="14" s="1"/>
  <c r="N23" i="14"/>
  <c r="N20" i="14" s="1"/>
  <c r="N18" i="14" s="1"/>
  <c r="R119" i="14"/>
  <c r="R117" i="14" s="1"/>
  <c r="S123" i="14"/>
  <c r="R145" i="14"/>
  <c r="U145" i="14" s="1"/>
  <c r="N159" i="14"/>
  <c r="N157" i="14" s="1"/>
  <c r="I195" i="14"/>
  <c r="K195" i="14" s="1"/>
  <c r="K198" i="14"/>
  <c r="T308" i="14"/>
  <c r="Q305" i="14"/>
  <c r="Q306" i="14"/>
  <c r="O581" i="14"/>
  <c r="L579" i="14"/>
  <c r="O579" i="14" s="1"/>
  <c r="M322" i="13"/>
  <c r="R26" i="14"/>
  <c r="U26" i="14" s="1"/>
  <c r="M96" i="14"/>
  <c r="M94" i="14" s="1"/>
  <c r="Q141" i="14"/>
  <c r="S145" i="14"/>
  <c r="K154" i="14"/>
  <c r="M160" i="14"/>
  <c r="P160" i="14" s="1"/>
  <c r="O162" i="14"/>
  <c r="L176" i="14"/>
  <c r="O176" i="14" s="1"/>
  <c r="Q188" i="14"/>
  <c r="Q186" i="14" s="1"/>
  <c r="L234" i="14"/>
  <c r="O341" i="14"/>
  <c r="L339" i="14"/>
  <c r="O339" i="14" s="1"/>
  <c r="N602" i="14"/>
  <c r="N601" i="14"/>
  <c r="N599" i="14" s="1"/>
  <c r="N377" i="14"/>
  <c r="N375" i="14" s="1"/>
  <c r="O416" i="14"/>
  <c r="L419" i="14"/>
  <c r="O419" i="14" s="1"/>
  <c r="J689" i="14"/>
  <c r="K726" i="14"/>
  <c r="M305" i="14"/>
  <c r="P305" i="14" s="1"/>
  <c r="R644" i="14"/>
  <c r="U644" i="14" s="1"/>
  <c r="S645" i="14"/>
  <c r="N309" i="14"/>
  <c r="T418" i="14"/>
  <c r="N495" i="14"/>
  <c r="N493" i="14" s="1"/>
  <c r="K709" i="14"/>
  <c r="Q763" i="14"/>
  <c r="T763" i="14" s="1"/>
  <c r="P325" i="14"/>
  <c r="P518" i="14"/>
  <c r="M558" i="14"/>
  <c r="P558" i="14" s="1"/>
  <c r="P269" i="14"/>
  <c r="R763" i="14"/>
  <c r="U763" i="14" s="1"/>
  <c r="U765" i="14"/>
  <c r="R645" i="12"/>
  <c r="U645" i="12" s="1"/>
  <c r="O64" i="13"/>
  <c r="M78" i="13"/>
  <c r="P78" i="13" s="1"/>
  <c r="T162" i="13"/>
  <c r="L222" i="13"/>
  <c r="O222" i="13" s="1"/>
  <c r="M306" i="13"/>
  <c r="P306" i="13" s="1"/>
  <c r="J701" i="13"/>
  <c r="Q730" i="13"/>
  <c r="Q728" i="13" s="1"/>
  <c r="T728" i="13" s="1"/>
  <c r="S763" i="13"/>
  <c r="S23" i="14"/>
  <c r="N47" i="14"/>
  <c r="O47" i="14" s="1"/>
  <c r="L61" i="14"/>
  <c r="L62" i="14"/>
  <c r="O62" i="14" s="1"/>
  <c r="N65" i="14"/>
  <c r="Q74" i="14"/>
  <c r="T74" i="14" s="1"/>
  <c r="K89" i="14"/>
  <c r="N96" i="14"/>
  <c r="N94" i="14" s="1"/>
  <c r="Q119" i="14"/>
  <c r="R141" i="14"/>
  <c r="Q142" i="14"/>
  <c r="T142" i="14" s="1"/>
  <c r="I156" i="14"/>
  <c r="K156" i="14" s="1"/>
  <c r="Q159" i="14"/>
  <c r="M163" i="14"/>
  <c r="P163" i="14" s="1"/>
  <c r="L175" i="14"/>
  <c r="R176" i="14"/>
  <c r="U176" i="14" s="1"/>
  <c r="Q189" i="14"/>
  <c r="T189" i="14" s="1"/>
  <c r="T191" i="14"/>
  <c r="I265" i="14"/>
  <c r="K265" i="14" s="1"/>
  <c r="N268" i="14"/>
  <c r="N266" i="14" s="1"/>
  <c r="U271" i="14"/>
  <c r="S303" i="14"/>
  <c r="P311" i="14"/>
  <c r="M377" i="14"/>
  <c r="Q378" i="14"/>
  <c r="R415" i="14"/>
  <c r="R413" i="14" s="1"/>
  <c r="P416" i="14"/>
  <c r="M419" i="14"/>
  <c r="P419" i="14" s="1"/>
  <c r="S495" i="14"/>
  <c r="S493" i="14" s="1"/>
  <c r="U604" i="14"/>
  <c r="R602" i="14"/>
  <c r="U602" i="14" s="1"/>
  <c r="R601" i="14"/>
  <c r="S619" i="14"/>
  <c r="S618" i="14"/>
  <c r="T647" i="14"/>
  <c r="Q645" i="14"/>
  <c r="T645" i="14" s="1"/>
  <c r="I689" i="14"/>
  <c r="S692" i="14"/>
  <c r="S690" i="14" s="1"/>
  <c r="U690" i="14" s="1"/>
  <c r="T695" i="14"/>
  <c r="Q693" i="14"/>
  <c r="T693" i="14" s="1"/>
  <c r="Q730" i="14"/>
  <c r="T730" i="14" s="1"/>
  <c r="P52" i="10"/>
  <c r="S306" i="13"/>
  <c r="K779" i="13"/>
  <c r="R74" i="14"/>
  <c r="R96" i="14"/>
  <c r="R97" i="14"/>
  <c r="I116" i="14"/>
  <c r="K116" i="14" s="1"/>
  <c r="M123" i="14"/>
  <c r="P123" i="14" s="1"/>
  <c r="S157" i="14"/>
  <c r="R159" i="14"/>
  <c r="M175" i="14"/>
  <c r="P178" i="14"/>
  <c r="M188" i="14"/>
  <c r="N192" i="14"/>
  <c r="L203" i="14"/>
  <c r="O203" i="14" s="1"/>
  <c r="R266" i="14"/>
  <c r="U305" i="14"/>
  <c r="M335" i="14"/>
  <c r="M333" i="14" s="1"/>
  <c r="I365" i="14"/>
  <c r="K365" i="14" s="1"/>
  <c r="K369" i="14"/>
  <c r="L578" i="14"/>
  <c r="L601" i="14"/>
  <c r="I759" i="14"/>
  <c r="K759" i="14" s="1"/>
  <c r="K774" i="14"/>
  <c r="K779" i="14"/>
  <c r="M499" i="8"/>
  <c r="P499" i="8" s="1"/>
  <c r="M495" i="13"/>
  <c r="M493" i="13" s="1"/>
  <c r="N61" i="14"/>
  <c r="N59" i="14" s="1"/>
  <c r="L75" i="14"/>
  <c r="O75" i="14" s="1"/>
  <c r="N496" i="14"/>
  <c r="M536" i="14"/>
  <c r="L605" i="14"/>
  <c r="O605" i="14" s="1"/>
  <c r="U693" i="14"/>
  <c r="S309" i="1"/>
  <c r="Q175" i="9"/>
  <c r="Q173" i="9" s="1"/>
  <c r="T173" i="9" s="1"/>
  <c r="S378" i="12"/>
  <c r="L50" i="13"/>
  <c r="O50" i="13" s="1"/>
  <c r="M179" i="13"/>
  <c r="P179" i="13" s="1"/>
  <c r="L233" i="13"/>
  <c r="L268" i="13"/>
  <c r="T308" i="13"/>
  <c r="R415" i="13"/>
  <c r="R413" i="13" s="1"/>
  <c r="P501" i="13"/>
  <c r="R601" i="13"/>
  <c r="R599" i="13" s="1"/>
  <c r="U599" i="13" s="1"/>
  <c r="R644" i="13"/>
  <c r="U644" i="13" s="1"/>
  <c r="M23" i="14"/>
  <c r="M21" i="14" s="1"/>
  <c r="L74" i="14"/>
  <c r="R78" i="14"/>
  <c r="U78" i="14" s="1"/>
  <c r="M119" i="14"/>
  <c r="P119" i="14" s="1"/>
  <c r="M142" i="14"/>
  <c r="P142" i="14" s="1"/>
  <c r="M159" i="14"/>
  <c r="P159" i="14" s="1"/>
  <c r="M176" i="14"/>
  <c r="P176" i="14" s="1"/>
  <c r="M179" i="14"/>
  <c r="P179" i="14" s="1"/>
  <c r="S192" i="14"/>
  <c r="S268" i="14"/>
  <c r="S266" i="14" s="1"/>
  <c r="P271" i="14"/>
  <c r="M284" i="14"/>
  <c r="M288" i="14"/>
  <c r="P288" i="14" s="1"/>
  <c r="M339" i="14"/>
  <c r="P339" i="14" s="1"/>
  <c r="K346" i="14"/>
  <c r="L359" i="14"/>
  <c r="L415" i="14"/>
  <c r="L413" i="14" s="1"/>
  <c r="Q416" i="14"/>
  <c r="I423" i="14"/>
  <c r="M495" i="14"/>
  <c r="M493" i="14" s="1"/>
  <c r="P493" i="14" s="1"/>
  <c r="Q496" i="14"/>
  <c r="T496" i="14" s="1"/>
  <c r="L516" i="14"/>
  <c r="O516" i="14" s="1"/>
  <c r="P604" i="14"/>
  <c r="M602" i="14"/>
  <c r="P602" i="14" s="1"/>
  <c r="M601" i="14"/>
  <c r="M605" i="14"/>
  <c r="P605" i="14" s="1"/>
  <c r="K632" i="14"/>
  <c r="K629" i="14"/>
  <c r="R762" i="14"/>
  <c r="R760" i="14" s="1"/>
  <c r="U760" i="14" s="1"/>
  <c r="K780" i="14"/>
  <c r="L601" i="12"/>
  <c r="L599" i="12" s="1"/>
  <c r="L46" i="13"/>
  <c r="L44" i="13" s="1"/>
  <c r="L601" i="13"/>
  <c r="L599" i="13" s="1"/>
  <c r="Q26" i="14"/>
  <c r="L96" i="14"/>
  <c r="L97" i="14"/>
  <c r="O97" i="14" s="1"/>
  <c r="L145" i="14"/>
  <c r="O145" i="14" s="1"/>
  <c r="I213" i="14"/>
  <c r="K213" i="14" s="1"/>
  <c r="L268" i="14"/>
  <c r="L269" i="14"/>
  <c r="O269" i="14" s="1"/>
  <c r="I281" i="14"/>
  <c r="K281" i="14" s="1"/>
  <c r="L322" i="14"/>
  <c r="L323" i="14"/>
  <c r="O323" i="14" s="1"/>
  <c r="P338" i="14"/>
  <c r="L358" i="14"/>
  <c r="L356" i="14" s="1"/>
  <c r="I374" i="14"/>
  <c r="K374" i="14" s="1"/>
  <c r="M378" i="14"/>
  <c r="P378" i="14" s="1"/>
  <c r="M415" i="14"/>
  <c r="M413" i="14" s="1"/>
  <c r="L515" i="14"/>
  <c r="M576" i="14"/>
  <c r="P576" i="14" s="1"/>
  <c r="T733" i="14"/>
  <c r="U621" i="14"/>
  <c r="U695" i="14"/>
  <c r="J702" i="14"/>
  <c r="I701" i="14"/>
  <c r="U305" i="13"/>
  <c r="R303" i="13"/>
  <c r="U303" i="13" s="1"/>
  <c r="R392" i="13"/>
  <c r="U392" i="13" s="1"/>
  <c r="R189" i="14"/>
  <c r="U189" i="14" s="1"/>
  <c r="U191" i="14"/>
  <c r="L285" i="14"/>
  <c r="O285" i="14" s="1"/>
  <c r="O287" i="14"/>
  <c r="I280" i="14"/>
  <c r="K280" i="14" s="1"/>
  <c r="K293" i="14"/>
  <c r="L306" i="14"/>
  <c r="O306" i="14" s="1"/>
  <c r="O308" i="14"/>
  <c r="I319" i="14"/>
  <c r="K319" i="14" s="1"/>
  <c r="K330" i="14"/>
  <c r="J343" i="14"/>
  <c r="J332" i="14"/>
  <c r="K332" i="14" s="1"/>
  <c r="N558" i="14"/>
  <c r="N557" i="14"/>
  <c r="N555" i="14" s="1"/>
  <c r="J675" i="12"/>
  <c r="U120" i="13"/>
  <c r="Q306" i="13"/>
  <c r="N335" i="13"/>
  <c r="N333" i="13" s="1"/>
  <c r="K784" i="13"/>
  <c r="P158" i="14"/>
  <c r="L309" i="14"/>
  <c r="O309" i="14" s="1"/>
  <c r="O311" i="14"/>
  <c r="M326" i="14"/>
  <c r="P326" i="14" s="1"/>
  <c r="P328" i="14"/>
  <c r="M322" i="14"/>
  <c r="I758" i="9"/>
  <c r="K758" i="9" s="1"/>
  <c r="N322" i="12"/>
  <c r="N320" i="12" s="1"/>
  <c r="Q730" i="12"/>
  <c r="Q728" i="12" s="1"/>
  <c r="K127" i="13"/>
  <c r="I138" i="13"/>
  <c r="K138" i="13" s="1"/>
  <c r="R188" i="13"/>
  <c r="R186" i="13" s="1"/>
  <c r="R306" i="13"/>
  <c r="L362" i="13"/>
  <c r="O362" i="13" s="1"/>
  <c r="U397" i="13"/>
  <c r="S731" i="13"/>
  <c r="U731" i="13" s="1"/>
  <c r="I758" i="13"/>
  <c r="K758" i="13" s="1"/>
  <c r="M59" i="14"/>
  <c r="M62" i="14"/>
  <c r="P62" i="14" s="1"/>
  <c r="P64" i="14"/>
  <c r="T73" i="14"/>
  <c r="M78" i="14"/>
  <c r="P78" i="14" s="1"/>
  <c r="P80" i="14"/>
  <c r="P118" i="14"/>
  <c r="I138" i="14"/>
  <c r="K138" i="14" s="1"/>
  <c r="K153" i="14"/>
  <c r="L189" i="14"/>
  <c r="O189" i="14" s="1"/>
  <c r="O191" i="14"/>
  <c r="R192" i="14"/>
  <c r="U192" i="14" s="1"/>
  <c r="U194" i="14"/>
  <c r="L214" i="14"/>
  <c r="O214" i="14" s="1"/>
  <c r="I221" i="14"/>
  <c r="K221" i="14" s="1"/>
  <c r="L233" i="14"/>
  <c r="L254" i="14"/>
  <c r="O254" i="14" s="1"/>
  <c r="Q269" i="14"/>
  <c r="T269" i="14" s="1"/>
  <c r="T271" i="14"/>
  <c r="N339" i="14"/>
  <c r="N335" i="14"/>
  <c r="N333" i="14" s="1"/>
  <c r="P357" i="14"/>
  <c r="R496" i="14"/>
  <c r="U496" i="14" s="1"/>
  <c r="U498" i="14"/>
  <c r="R495" i="14"/>
  <c r="L499" i="14"/>
  <c r="O499" i="14" s="1"/>
  <c r="O501" i="14"/>
  <c r="Q714" i="14"/>
  <c r="T714" i="14" s="1"/>
  <c r="T716" i="14"/>
  <c r="M499" i="12"/>
  <c r="P499" i="12" s="1"/>
  <c r="M579" i="12"/>
  <c r="P579" i="12" s="1"/>
  <c r="T733" i="12"/>
  <c r="R96" i="13"/>
  <c r="R94" i="13" s="1"/>
  <c r="M100" i="13"/>
  <c r="P100" i="13" s="1"/>
  <c r="L235" i="13"/>
  <c r="M309" i="13"/>
  <c r="P309" i="13" s="1"/>
  <c r="L495" i="13"/>
  <c r="L493" i="13" s="1"/>
  <c r="L46" i="14"/>
  <c r="O52" i="14"/>
  <c r="Q97" i="14"/>
  <c r="T99" i="14"/>
  <c r="P189" i="14"/>
  <c r="S496" i="11"/>
  <c r="R175" i="12"/>
  <c r="U175" i="12" s="1"/>
  <c r="L272" i="12"/>
  <c r="O272" i="12" s="1"/>
  <c r="U495" i="12"/>
  <c r="M61" i="13"/>
  <c r="M59" i="13" s="1"/>
  <c r="L214" i="13"/>
  <c r="O214" i="13" s="1"/>
  <c r="J374" i="13"/>
  <c r="R395" i="13"/>
  <c r="U395" i="13" s="1"/>
  <c r="R416" i="13"/>
  <c r="U416" i="13" s="1"/>
  <c r="O539" i="13"/>
  <c r="O602" i="13"/>
  <c r="L23" i="14"/>
  <c r="R23" i="14"/>
  <c r="L26" i="14"/>
  <c r="O26" i="14" s="1"/>
  <c r="M46" i="14"/>
  <c r="P52" i="14"/>
  <c r="S74" i="14"/>
  <c r="S72" i="14" s="1"/>
  <c r="M75" i="14"/>
  <c r="P75" i="14" s="1"/>
  <c r="P77" i="14"/>
  <c r="P174" i="14"/>
  <c r="R188" i="14"/>
  <c r="L192" i="14"/>
  <c r="O192" i="14" s="1"/>
  <c r="O194" i="14"/>
  <c r="Q605" i="12"/>
  <c r="T605" i="12" s="1"/>
  <c r="Q145" i="13"/>
  <c r="T145" i="13" s="1"/>
  <c r="I172" i="13"/>
  <c r="K172" i="13" s="1"/>
  <c r="N322" i="13"/>
  <c r="N320" i="13" s="1"/>
  <c r="K368" i="13"/>
  <c r="K371" i="13"/>
  <c r="M601" i="13"/>
  <c r="M599" i="13" s="1"/>
  <c r="R619" i="13"/>
  <c r="U619" i="13" s="1"/>
  <c r="M26" i="14"/>
  <c r="M24" i="14" s="1"/>
  <c r="P24" i="14" s="1"/>
  <c r="S26" i="14"/>
  <c r="Q96" i="14"/>
  <c r="L243" i="14"/>
  <c r="L236" i="14"/>
  <c r="R306" i="14"/>
  <c r="U308" i="14"/>
  <c r="L335" i="14"/>
  <c r="N336" i="14"/>
  <c r="O336" i="14" s="1"/>
  <c r="R356" i="14"/>
  <c r="U356" i="14" s="1"/>
  <c r="U414" i="14"/>
  <c r="J503" i="14"/>
  <c r="J492" i="14" s="1"/>
  <c r="K505" i="14"/>
  <c r="N540" i="14"/>
  <c r="N536" i="14"/>
  <c r="N534" i="14" s="1"/>
  <c r="Q576" i="14"/>
  <c r="T576" i="14" s="1"/>
  <c r="T578" i="14"/>
  <c r="T621" i="14"/>
  <c r="Q618" i="14"/>
  <c r="Q619" i="14"/>
  <c r="M642" i="14"/>
  <c r="P642" i="14" s="1"/>
  <c r="P644" i="14"/>
  <c r="U77" i="14"/>
  <c r="R378" i="14"/>
  <c r="U378" i="14" s="1"/>
  <c r="U380" i="14"/>
  <c r="U393" i="14"/>
  <c r="R392" i="14"/>
  <c r="U392" i="14" s="1"/>
  <c r="O414" i="14"/>
  <c r="L496" i="14"/>
  <c r="O496" i="14" s="1"/>
  <c r="O498" i="14"/>
  <c r="M519" i="14"/>
  <c r="P519" i="14" s="1"/>
  <c r="P521" i="14"/>
  <c r="M515" i="14"/>
  <c r="Q605" i="14"/>
  <c r="T605" i="14" s="1"/>
  <c r="T607" i="14"/>
  <c r="U617" i="14"/>
  <c r="R616" i="14"/>
  <c r="T643" i="14"/>
  <c r="Q642" i="14"/>
  <c r="T642" i="14" s="1"/>
  <c r="L760" i="14"/>
  <c r="O760" i="14" s="1"/>
  <c r="O762" i="14"/>
  <c r="M362" i="14"/>
  <c r="P362" i="14" s="1"/>
  <c r="P364" i="14"/>
  <c r="L381" i="14"/>
  <c r="O381" i="14" s="1"/>
  <c r="O383" i="14"/>
  <c r="O393" i="14"/>
  <c r="L392" i="14"/>
  <c r="O392" i="14" s="1"/>
  <c r="T397" i="14"/>
  <c r="Q394" i="14"/>
  <c r="Q395" i="14"/>
  <c r="T395" i="14" s="1"/>
  <c r="Q534" i="14"/>
  <c r="T534" i="14" s="1"/>
  <c r="T536" i="14"/>
  <c r="U556" i="14"/>
  <c r="R555" i="14"/>
  <c r="U555" i="14" s="1"/>
  <c r="M690" i="14"/>
  <c r="P690" i="14" s="1"/>
  <c r="P692" i="14"/>
  <c r="P191" i="14"/>
  <c r="P194" i="14"/>
  <c r="Q266" i="14"/>
  <c r="R282" i="14"/>
  <c r="U282" i="14" s="1"/>
  <c r="R303" i="14"/>
  <c r="Q333" i="14"/>
  <c r="T333" i="14" s="1"/>
  <c r="M358" i="14"/>
  <c r="L378" i="14"/>
  <c r="O378" i="14" s="1"/>
  <c r="O380" i="14"/>
  <c r="O556" i="14"/>
  <c r="N582" i="14"/>
  <c r="N578" i="14"/>
  <c r="N576" i="14" s="1"/>
  <c r="O617" i="14"/>
  <c r="L616" i="14"/>
  <c r="O616" i="14" s="1"/>
  <c r="T691" i="14"/>
  <c r="Q690" i="14"/>
  <c r="R377" i="14"/>
  <c r="N415" i="14"/>
  <c r="N413" i="14" s="1"/>
  <c r="Q602" i="14"/>
  <c r="T602" i="14" s="1"/>
  <c r="T604" i="14"/>
  <c r="K615" i="14"/>
  <c r="Q413" i="14"/>
  <c r="O418" i="14"/>
  <c r="U418" i="14"/>
  <c r="O542" i="14"/>
  <c r="O584" i="14"/>
  <c r="K626" i="14"/>
  <c r="K630" i="14"/>
  <c r="R730" i="14"/>
  <c r="U730" i="14" s="1"/>
  <c r="U733" i="14"/>
  <c r="S762" i="14"/>
  <c r="S760" i="14" s="1"/>
  <c r="P418" i="14"/>
  <c r="O521" i="14"/>
  <c r="K631" i="14"/>
  <c r="K457" i="14"/>
  <c r="R645" i="14"/>
  <c r="U645" i="14" s="1"/>
  <c r="P498" i="14"/>
  <c r="P501" i="14"/>
  <c r="I758" i="14"/>
  <c r="K758" i="14" s="1"/>
  <c r="Q762" i="14"/>
  <c r="P607" i="12"/>
  <c r="M601" i="12"/>
  <c r="M599" i="12" s="1"/>
  <c r="O563" i="13"/>
  <c r="L561" i="13"/>
  <c r="O561" i="13" s="1"/>
  <c r="M176" i="3"/>
  <c r="P176" i="3" s="1"/>
  <c r="S159" i="11"/>
  <c r="S157" i="11" s="1"/>
  <c r="J702" i="11"/>
  <c r="T162" i="12"/>
  <c r="I172" i="12"/>
  <c r="K172" i="12" s="1"/>
  <c r="I195" i="12"/>
  <c r="K195" i="12" s="1"/>
  <c r="L234" i="12"/>
  <c r="N323" i="12"/>
  <c r="L516" i="12"/>
  <c r="O516" i="12" s="1"/>
  <c r="L159" i="13"/>
  <c r="O159" i="13" s="1"/>
  <c r="I213" i="13"/>
  <c r="K213" i="13" s="1"/>
  <c r="K220" i="13"/>
  <c r="M232" i="1"/>
  <c r="Q74" i="5"/>
  <c r="Q72" i="5" s="1"/>
  <c r="T72" i="5" s="1"/>
  <c r="I138" i="11"/>
  <c r="K138" i="11" s="1"/>
  <c r="Q176" i="13"/>
  <c r="T176" i="13" s="1"/>
  <c r="T178" i="13"/>
  <c r="Q175" i="13"/>
  <c r="T175" i="13" s="1"/>
  <c r="T194" i="13"/>
  <c r="Q192" i="13"/>
  <c r="T192" i="13" s="1"/>
  <c r="N378" i="13"/>
  <c r="N377" i="13"/>
  <c r="N375" i="13" s="1"/>
  <c r="N536" i="13"/>
  <c r="N534" i="13" s="1"/>
  <c r="N540" i="13"/>
  <c r="S119" i="11"/>
  <c r="S117" i="11" s="1"/>
  <c r="L495" i="12"/>
  <c r="O495" i="12" s="1"/>
  <c r="S269" i="13"/>
  <c r="U269" i="13" s="1"/>
  <c r="T271" i="13"/>
  <c r="Q619" i="13"/>
  <c r="T619" i="13" s="1"/>
  <c r="T621" i="13"/>
  <c r="L496" i="12"/>
  <c r="O496" i="12" s="1"/>
  <c r="S395" i="13"/>
  <c r="S394" i="13"/>
  <c r="S392" i="13" s="1"/>
  <c r="Q416" i="13"/>
  <c r="T416" i="13" s="1"/>
  <c r="T418" i="13"/>
  <c r="S645" i="13"/>
  <c r="S644" i="13"/>
  <c r="S642" i="13" s="1"/>
  <c r="L78" i="12"/>
  <c r="O78" i="12" s="1"/>
  <c r="S96" i="12"/>
  <c r="S94" i="12" s="1"/>
  <c r="L305" i="12"/>
  <c r="O305" i="12" s="1"/>
  <c r="L309" i="12"/>
  <c r="O309" i="12" s="1"/>
  <c r="K346" i="12"/>
  <c r="O418" i="12"/>
  <c r="R23" i="13"/>
  <c r="R21" i="13" s="1"/>
  <c r="R141" i="13"/>
  <c r="R139" i="13" s="1"/>
  <c r="U191" i="13"/>
  <c r="R189" i="13"/>
  <c r="U189" i="13" s="1"/>
  <c r="Q693" i="13"/>
  <c r="Q692" i="13"/>
  <c r="Q690" i="13" s="1"/>
  <c r="P77" i="13"/>
  <c r="Q78" i="13"/>
  <c r="T78" i="13" s="1"/>
  <c r="M123" i="13"/>
  <c r="P123" i="13" s="1"/>
  <c r="O147" i="13"/>
  <c r="K778" i="13"/>
  <c r="K709" i="12"/>
  <c r="I83" i="13"/>
  <c r="K83" i="13" s="1"/>
  <c r="T144" i="13"/>
  <c r="Q189" i="13"/>
  <c r="T189" i="13" s="1"/>
  <c r="U498" i="13"/>
  <c r="U308" i="13"/>
  <c r="U765" i="12"/>
  <c r="P62" i="13"/>
  <c r="L100" i="13"/>
  <c r="O100" i="13" s="1"/>
  <c r="K109" i="13"/>
  <c r="T122" i="13"/>
  <c r="R192" i="13"/>
  <c r="U192" i="13" s="1"/>
  <c r="M326" i="13"/>
  <c r="P326" i="13" s="1"/>
  <c r="P336" i="13"/>
  <c r="I365" i="13"/>
  <c r="K365" i="13" s="1"/>
  <c r="U621" i="13"/>
  <c r="S693" i="13"/>
  <c r="K785" i="13"/>
  <c r="U271" i="13"/>
  <c r="L335" i="13"/>
  <c r="O604" i="13"/>
  <c r="U418" i="12"/>
  <c r="R416" i="12"/>
  <c r="U416" i="12" s="1"/>
  <c r="O581" i="12"/>
  <c r="L579" i="12"/>
  <c r="O579" i="12" s="1"/>
  <c r="L78" i="13"/>
  <c r="O78" i="13" s="1"/>
  <c r="O80" i="13"/>
  <c r="M188" i="13"/>
  <c r="M186" i="13" s="1"/>
  <c r="P194" i="13"/>
  <c r="M192" i="13"/>
  <c r="P192" i="13" s="1"/>
  <c r="M272" i="13"/>
  <c r="P272" i="13" s="1"/>
  <c r="P274" i="13"/>
  <c r="O287" i="13"/>
  <c r="L285" i="13"/>
  <c r="O285" i="13" s="1"/>
  <c r="Q305" i="13"/>
  <c r="T305" i="13" s="1"/>
  <c r="L358" i="13"/>
  <c r="O361" i="13"/>
  <c r="L359" i="13"/>
  <c r="O359" i="13" s="1"/>
  <c r="P581" i="13"/>
  <c r="M579" i="13"/>
  <c r="P579" i="13" s="1"/>
  <c r="M578" i="13"/>
  <c r="P578" i="13" s="1"/>
  <c r="U80" i="13"/>
  <c r="R78" i="13"/>
  <c r="U78" i="13" s="1"/>
  <c r="I253" i="12"/>
  <c r="K253" i="12" s="1"/>
  <c r="K260" i="12"/>
  <c r="Q97" i="13"/>
  <c r="T99" i="13"/>
  <c r="Q23" i="13"/>
  <c r="Q21" i="13" s="1"/>
  <c r="S123" i="13"/>
  <c r="S119" i="13"/>
  <c r="S117" i="13" s="1"/>
  <c r="I242" i="13"/>
  <c r="K242" i="13" s="1"/>
  <c r="I238" i="13"/>
  <c r="K238" i="13" s="1"/>
  <c r="K249" i="13"/>
  <c r="N100" i="13"/>
  <c r="N26" i="13"/>
  <c r="N24" i="13" s="1"/>
  <c r="R120" i="12"/>
  <c r="U120" i="12" s="1"/>
  <c r="R119" i="12"/>
  <c r="R117" i="12" s="1"/>
  <c r="S123" i="12"/>
  <c r="S119" i="12"/>
  <c r="S117" i="12" s="1"/>
  <c r="N47" i="13"/>
  <c r="N23" i="13"/>
  <c r="N21" i="13" s="1"/>
  <c r="L142" i="13"/>
  <c r="L141" i="13"/>
  <c r="L139" i="13" s="1"/>
  <c r="I253" i="13"/>
  <c r="K260" i="13"/>
  <c r="I242" i="12"/>
  <c r="K242" i="12" s="1"/>
  <c r="I238" i="12"/>
  <c r="K238" i="12" s="1"/>
  <c r="K249" i="12"/>
  <c r="P311" i="12"/>
  <c r="M309" i="12"/>
  <c r="P309" i="12" s="1"/>
  <c r="T604" i="12"/>
  <c r="Q602" i="12"/>
  <c r="T602" i="12" s="1"/>
  <c r="L188" i="13"/>
  <c r="L186" i="13" s="1"/>
  <c r="L189" i="13"/>
  <c r="K293" i="13"/>
  <c r="I280" i="13"/>
  <c r="K280" i="13" s="1"/>
  <c r="N358" i="13"/>
  <c r="N356" i="13" s="1"/>
  <c r="N362" i="13"/>
  <c r="R416" i="9"/>
  <c r="U416" i="9" s="1"/>
  <c r="R415" i="9"/>
  <c r="U415" i="9" s="1"/>
  <c r="P383" i="13"/>
  <c r="M381" i="13"/>
  <c r="P381" i="13" s="1"/>
  <c r="M377" i="13"/>
  <c r="O80" i="10"/>
  <c r="L78" i="10"/>
  <c r="O78" i="10" s="1"/>
  <c r="K503" i="12"/>
  <c r="I492" i="12"/>
  <c r="K492" i="12" s="1"/>
  <c r="K84" i="13"/>
  <c r="I82" i="13"/>
  <c r="K82" i="13" s="1"/>
  <c r="P178" i="13"/>
  <c r="M175" i="13"/>
  <c r="M173" i="13" s="1"/>
  <c r="M269" i="13"/>
  <c r="M268" i="13"/>
  <c r="P271" i="13"/>
  <c r="I265" i="13"/>
  <c r="K265" i="13" s="1"/>
  <c r="K276" i="13"/>
  <c r="P521" i="13"/>
  <c r="M519" i="13"/>
  <c r="P519" i="13" s="1"/>
  <c r="P542" i="13"/>
  <c r="M536" i="13"/>
  <c r="P536" i="13" s="1"/>
  <c r="L74" i="10"/>
  <c r="L72" i="10" s="1"/>
  <c r="O72" i="10" s="1"/>
  <c r="S188" i="12"/>
  <c r="S186" i="12" s="1"/>
  <c r="J343" i="12"/>
  <c r="L47" i="13"/>
  <c r="O49" i="13"/>
  <c r="P64" i="13"/>
  <c r="L61" i="13"/>
  <c r="L59" i="13" s="1"/>
  <c r="N74" i="13"/>
  <c r="N72" i="13" s="1"/>
  <c r="O102" i="13"/>
  <c r="R142" i="13"/>
  <c r="S188" i="13"/>
  <c r="S268" i="13"/>
  <c r="T268" i="13" s="1"/>
  <c r="L322" i="13"/>
  <c r="L320" i="13" s="1"/>
  <c r="M335" i="13"/>
  <c r="M333" i="13" s="1"/>
  <c r="O336" i="13"/>
  <c r="M358" i="13"/>
  <c r="M356" i="13" s="1"/>
  <c r="M359" i="13"/>
  <c r="P359" i="13" s="1"/>
  <c r="P361" i="13"/>
  <c r="T380" i="13"/>
  <c r="Q377" i="13"/>
  <c r="L519" i="13"/>
  <c r="O519" i="13" s="1"/>
  <c r="S602" i="13"/>
  <c r="S601" i="13"/>
  <c r="S599" i="13" s="1"/>
  <c r="R616" i="13"/>
  <c r="T647" i="13"/>
  <c r="Q645" i="13"/>
  <c r="T645" i="13" s="1"/>
  <c r="Q644" i="13"/>
  <c r="T644" i="13" s="1"/>
  <c r="P65" i="13"/>
  <c r="Q74" i="13"/>
  <c r="Q72" i="13" s="1"/>
  <c r="T72" i="13" s="1"/>
  <c r="M120" i="13"/>
  <c r="P120" i="13" s="1"/>
  <c r="S175" i="13"/>
  <c r="S173" i="13" s="1"/>
  <c r="L192" i="13"/>
  <c r="O192" i="13" s="1"/>
  <c r="L272" i="13"/>
  <c r="O272" i="13" s="1"/>
  <c r="M323" i="13"/>
  <c r="P364" i="13"/>
  <c r="R378" i="13"/>
  <c r="U378" i="13" s="1"/>
  <c r="R377" i="13"/>
  <c r="O518" i="13"/>
  <c r="L515" i="13"/>
  <c r="O515" i="13" s="1"/>
  <c r="L516" i="13"/>
  <c r="O516" i="13" s="1"/>
  <c r="L579" i="13"/>
  <c r="O579" i="13" s="1"/>
  <c r="U607" i="13"/>
  <c r="R605" i="13"/>
  <c r="U605" i="13" s="1"/>
  <c r="K629" i="13"/>
  <c r="K632" i="13"/>
  <c r="L176" i="10"/>
  <c r="O176" i="10" s="1"/>
  <c r="U380" i="12"/>
  <c r="I689" i="12"/>
  <c r="N61" i="13"/>
  <c r="N59" i="13" s="1"/>
  <c r="Q188" i="13"/>
  <c r="Q186" i="13" s="1"/>
  <c r="L203" i="13"/>
  <c r="O203" i="13" s="1"/>
  <c r="M305" i="13"/>
  <c r="P305" i="13" s="1"/>
  <c r="L326" i="13"/>
  <c r="O326" i="13" s="1"/>
  <c r="P338" i="13"/>
  <c r="U80" i="12"/>
  <c r="J332" i="13"/>
  <c r="K332" i="13" s="1"/>
  <c r="Q395" i="13"/>
  <c r="T395" i="13" s="1"/>
  <c r="Q394" i="13"/>
  <c r="T394" i="13" s="1"/>
  <c r="O418" i="13"/>
  <c r="L415" i="13"/>
  <c r="L413" i="13" s="1"/>
  <c r="L416" i="13"/>
  <c r="O416" i="13" s="1"/>
  <c r="P563" i="13"/>
  <c r="M557" i="13"/>
  <c r="M561" i="13"/>
  <c r="P561" i="13" s="1"/>
  <c r="L120" i="10"/>
  <c r="O120" i="10" s="1"/>
  <c r="P325" i="12"/>
  <c r="J351" i="12"/>
  <c r="O383" i="12"/>
  <c r="R496" i="12"/>
  <c r="U496" i="12" s="1"/>
  <c r="P542" i="12"/>
  <c r="O604" i="12"/>
  <c r="P49" i="13"/>
  <c r="L119" i="13"/>
  <c r="O119" i="13" s="1"/>
  <c r="M163" i="13"/>
  <c r="P163" i="13" s="1"/>
  <c r="L254" i="13"/>
  <c r="O254" i="13" s="1"/>
  <c r="K292" i="13"/>
  <c r="N305" i="13"/>
  <c r="N303" i="13" s="1"/>
  <c r="L381" i="13"/>
  <c r="O381" i="13" s="1"/>
  <c r="O383" i="13"/>
  <c r="P418" i="13"/>
  <c r="L419" i="13"/>
  <c r="O419" i="13" s="1"/>
  <c r="M582" i="13"/>
  <c r="P582" i="13" s="1"/>
  <c r="P584" i="13"/>
  <c r="I689" i="13"/>
  <c r="K709" i="13"/>
  <c r="M515" i="13"/>
  <c r="P515" i="13" s="1"/>
  <c r="M602" i="13"/>
  <c r="P602" i="13" s="1"/>
  <c r="S618" i="13"/>
  <c r="S616" i="13" s="1"/>
  <c r="R762" i="13"/>
  <c r="U762" i="13" s="1"/>
  <c r="N557" i="13"/>
  <c r="N555" i="13" s="1"/>
  <c r="J702" i="13"/>
  <c r="J674" i="13"/>
  <c r="S692" i="13"/>
  <c r="S690" i="13" s="1"/>
  <c r="U690" i="13" s="1"/>
  <c r="T695" i="13"/>
  <c r="K727" i="13"/>
  <c r="T733" i="13"/>
  <c r="K774" i="13"/>
  <c r="O47" i="12"/>
  <c r="N119" i="13"/>
  <c r="N117" i="13" s="1"/>
  <c r="N120" i="13"/>
  <c r="L97" i="1"/>
  <c r="P64" i="12"/>
  <c r="N358" i="12"/>
  <c r="N356" i="12" s="1"/>
  <c r="N515" i="12"/>
  <c r="N513" i="12" s="1"/>
  <c r="L602" i="12"/>
  <c r="O602" i="12" s="1"/>
  <c r="K781" i="12"/>
  <c r="P22" i="13"/>
  <c r="R26" i="13"/>
  <c r="U26" i="13" s="1"/>
  <c r="L62" i="13"/>
  <c r="O62" i="13" s="1"/>
  <c r="L23" i="13"/>
  <c r="O95" i="13"/>
  <c r="U99" i="13"/>
  <c r="S96" i="13"/>
  <c r="S97" i="13"/>
  <c r="U97" i="13" s="1"/>
  <c r="O122" i="13"/>
  <c r="O125" i="13"/>
  <c r="I136" i="13"/>
  <c r="K136" i="13" s="1"/>
  <c r="S142" i="13"/>
  <c r="T142" i="13" s="1"/>
  <c r="U144" i="13"/>
  <c r="S141" i="13"/>
  <c r="I156" i="13"/>
  <c r="K156" i="13" s="1"/>
  <c r="L160" i="13"/>
  <c r="O160" i="13" s="1"/>
  <c r="O162" i="13"/>
  <c r="R176" i="13"/>
  <c r="U176" i="13" s="1"/>
  <c r="U178" i="13"/>
  <c r="L605" i="11"/>
  <c r="O605" i="11" s="1"/>
  <c r="I265" i="12"/>
  <c r="K265" i="12" s="1"/>
  <c r="J374" i="12"/>
  <c r="P498" i="12"/>
  <c r="L561" i="12"/>
  <c r="O561" i="12" s="1"/>
  <c r="R19" i="13"/>
  <c r="O67" i="13"/>
  <c r="L65" i="13"/>
  <c r="O65" i="13" s="1"/>
  <c r="L26" i="13"/>
  <c r="U140" i="13"/>
  <c r="K198" i="13"/>
  <c r="I195" i="13"/>
  <c r="K195" i="13" s="1"/>
  <c r="R268" i="9"/>
  <c r="R266" i="9" s="1"/>
  <c r="T191" i="11"/>
  <c r="L175" i="12"/>
  <c r="L173" i="12" s="1"/>
  <c r="L179" i="12"/>
  <c r="O179" i="12" s="1"/>
  <c r="K368" i="12"/>
  <c r="M377" i="12"/>
  <c r="P377" i="12" s="1"/>
  <c r="P418" i="12"/>
  <c r="M495" i="12"/>
  <c r="P495" i="12" s="1"/>
  <c r="R602" i="12"/>
  <c r="U602" i="12" s="1"/>
  <c r="T647" i="12"/>
  <c r="S19" i="13"/>
  <c r="U25" i="13"/>
  <c r="R74" i="13"/>
  <c r="O77" i="13"/>
  <c r="L75" i="13"/>
  <c r="O75" i="13" s="1"/>
  <c r="S23" i="13"/>
  <c r="S74" i="13"/>
  <c r="S72" i="13" s="1"/>
  <c r="S75" i="13"/>
  <c r="P99" i="13"/>
  <c r="M96" i="13"/>
  <c r="M94" i="13" s="1"/>
  <c r="R123" i="13"/>
  <c r="U123" i="13" s="1"/>
  <c r="U125" i="13"/>
  <c r="M142" i="13"/>
  <c r="P144" i="13"/>
  <c r="M141" i="13"/>
  <c r="M139" i="13" s="1"/>
  <c r="M160" i="13"/>
  <c r="P160" i="13" s="1"/>
  <c r="N163" i="13"/>
  <c r="N159" i="13"/>
  <c r="N157" i="13" s="1"/>
  <c r="L176" i="13"/>
  <c r="O176" i="13" s="1"/>
  <c r="O178" i="13"/>
  <c r="O267" i="13"/>
  <c r="N284" i="13"/>
  <c r="N282" i="13" s="1"/>
  <c r="N288" i="13"/>
  <c r="O65" i="12"/>
  <c r="R96" i="12"/>
  <c r="U96" i="12" s="1"/>
  <c r="N96" i="12"/>
  <c r="N94" i="12" s="1"/>
  <c r="T147" i="12"/>
  <c r="S175" i="12"/>
  <c r="S173" i="12" s="1"/>
  <c r="P341" i="12"/>
  <c r="R415" i="12"/>
  <c r="R413" i="12" s="1"/>
  <c r="U413" i="12" s="1"/>
  <c r="M519" i="12"/>
  <c r="P519" i="12" s="1"/>
  <c r="M605" i="12"/>
  <c r="P605" i="12" s="1"/>
  <c r="Q645" i="12"/>
  <c r="T645" i="12" s="1"/>
  <c r="M19" i="13"/>
  <c r="M23" i="13"/>
  <c r="M47" i="13"/>
  <c r="M50" i="13"/>
  <c r="P50" i="13" s="1"/>
  <c r="M26" i="13"/>
  <c r="P52" i="13"/>
  <c r="N97" i="13"/>
  <c r="O97" i="13" s="1"/>
  <c r="N96" i="13"/>
  <c r="O99" i="13"/>
  <c r="I92" i="13"/>
  <c r="K92" i="13" s="1"/>
  <c r="K108" i="13"/>
  <c r="N141" i="13"/>
  <c r="O144" i="13"/>
  <c r="R145" i="13"/>
  <c r="U145" i="13" s="1"/>
  <c r="U147" i="13"/>
  <c r="I137" i="13"/>
  <c r="K137" i="13" s="1"/>
  <c r="K152" i="13"/>
  <c r="M159" i="13"/>
  <c r="N189" i="13"/>
  <c r="P191" i="13"/>
  <c r="O191" i="13"/>
  <c r="N188" i="13"/>
  <c r="N186" i="13" s="1"/>
  <c r="L243" i="13"/>
  <c r="I374" i="13"/>
  <c r="K386" i="13"/>
  <c r="N322" i="11"/>
  <c r="N320" i="11" s="1"/>
  <c r="U145" i="12"/>
  <c r="K632" i="12"/>
  <c r="J702" i="12"/>
  <c r="M46" i="13"/>
  <c r="N46" i="13"/>
  <c r="N50" i="13"/>
  <c r="P67" i="13"/>
  <c r="L74" i="13"/>
  <c r="M75" i="13"/>
  <c r="P75" i="13" s="1"/>
  <c r="R119" i="13"/>
  <c r="R117" i="13" s="1"/>
  <c r="T120" i="13"/>
  <c r="U122" i="13"/>
  <c r="P140" i="13"/>
  <c r="N142" i="13"/>
  <c r="R160" i="13"/>
  <c r="U160" i="13" s="1"/>
  <c r="U162" i="13"/>
  <c r="L175" i="13"/>
  <c r="M176" i="13"/>
  <c r="P176" i="13" s="1"/>
  <c r="N179" i="13"/>
  <c r="N175" i="13"/>
  <c r="N173" i="13" s="1"/>
  <c r="P283" i="13"/>
  <c r="S26" i="13"/>
  <c r="S24" i="13" s="1"/>
  <c r="Q119" i="13"/>
  <c r="N419" i="13"/>
  <c r="N415" i="13"/>
  <c r="N413" i="13" s="1"/>
  <c r="O271" i="13"/>
  <c r="N269" i="13"/>
  <c r="Q282" i="13"/>
  <c r="T282" i="13" s="1"/>
  <c r="R320" i="13"/>
  <c r="U320" i="13" s="1"/>
  <c r="U321" i="13"/>
  <c r="Q496" i="13"/>
  <c r="T496" i="13" s="1"/>
  <c r="Q495" i="13"/>
  <c r="T498" i="13"/>
  <c r="M145" i="13"/>
  <c r="P145" i="13" s="1"/>
  <c r="P147" i="13"/>
  <c r="T158" i="13"/>
  <c r="L163" i="13"/>
  <c r="O163" i="13" s="1"/>
  <c r="O165" i="13"/>
  <c r="T174" i="13"/>
  <c r="L179" i="13"/>
  <c r="O179" i="13" s="1"/>
  <c r="O181" i="13"/>
  <c r="L288" i="13"/>
  <c r="O288" i="13" s="1"/>
  <c r="O290" i="13"/>
  <c r="L284" i="13"/>
  <c r="Q26" i="13"/>
  <c r="Q75" i="13"/>
  <c r="T75" i="13" s="1"/>
  <c r="S78" i="13"/>
  <c r="R157" i="13"/>
  <c r="U157" i="13" s="1"/>
  <c r="R173" i="13"/>
  <c r="U173" i="13" s="1"/>
  <c r="I202" i="13"/>
  <c r="K202" i="13" s="1"/>
  <c r="K209" i="13"/>
  <c r="L309" i="13"/>
  <c r="O309" i="13" s="1"/>
  <c r="O311" i="13"/>
  <c r="L305" i="13"/>
  <c r="P394" i="13"/>
  <c r="M392" i="13"/>
  <c r="P392" i="13" s="1"/>
  <c r="N323" i="13"/>
  <c r="O325" i="13"/>
  <c r="K330" i="13"/>
  <c r="S356" i="13"/>
  <c r="M415" i="13"/>
  <c r="I423" i="13"/>
  <c r="O498" i="13"/>
  <c r="N515" i="13"/>
  <c r="N513" i="13" s="1"/>
  <c r="N516" i="13"/>
  <c r="S576" i="13"/>
  <c r="O584" i="13"/>
  <c r="L578" i="13"/>
  <c r="O578" i="13" s="1"/>
  <c r="L582" i="13"/>
  <c r="O582" i="13" s="1"/>
  <c r="T600" i="13"/>
  <c r="P618" i="13"/>
  <c r="M616" i="13"/>
  <c r="P616" i="13" s="1"/>
  <c r="M284" i="13"/>
  <c r="P284" i="13" s="1"/>
  <c r="P290" i="13"/>
  <c r="I302" i="13"/>
  <c r="K302" i="13" s="1"/>
  <c r="P325" i="13"/>
  <c r="O334" i="13"/>
  <c r="U334" i="13"/>
  <c r="O338" i="13"/>
  <c r="O341" i="13"/>
  <c r="U380" i="13"/>
  <c r="N392" i="13"/>
  <c r="U393" i="13"/>
  <c r="T414" i="13"/>
  <c r="Q413" i="13"/>
  <c r="M416" i="13"/>
  <c r="P416" i="13" s="1"/>
  <c r="M419" i="13"/>
  <c r="P419" i="13" s="1"/>
  <c r="K457" i="13"/>
  <c r="R493" i="13"/>
  <c r="P494" i="13"/>
  <c r="O514" i="13"/>
  <c r="S513" i="13"/>
  <c r="Q555" i="13"/>
  <c r="T555" i="13" s="1"/>
  <c r="T556" i="13"/>
  <c r="Q605" i="13"/>
  <c r="T605" i="13" s="1"/>
  <c r="T607" i="13"/>
  <c r="K705" i="13"/>
  <c r="I701" i="13"/>
  <c r="Q320" i="13"/>
  <c r="T320" i="13" s="1"/>
  <c r="P334" i="13"/>
  <c r="K369" i="13"/>
  <c r="O380" i="13"/>
  <c r="O393" i="13"/>
  <c r="T397" i="13"/>
  <c r="P498" i="13"/>
  <c r="N495" i="13"/>
  <c r="Q534" i="13"/>
  <c r="T534" i="13" s="1"/>
  <c r="J343" i="13"/>
  <c r="T393" i="13"/>
  <c r="U414" i="13"/>
  <c r="N496" i="13"/>
  <c r="P496" i="13" s="1"/>
  <c r="O542" i="13"/>
  <c r="L536" i="13"/>
  <c r="M516" i="13"/>
  <c r="P516" i="13" s="1"/>
  <c r="P518" i="13"/>
  <c r="P535" i="13"/>
  <c r="M540" i="13"/>
  <c r="P540" i="13" s="1"/>
  <c r="L558" i="13"/>
  <c r="O558" i="13" s="1"/>
  <c r="N578" i="13"/>
  <c r="N576" i="13" s="1"/>
  <c r="N601" i="13"/>
  <c r="Q602" i="13"/>
  <c r="T602" i="13" s="1"/>
  <c r="P604" i="13"/>
  <c r="T617" i="13"/>
  <c r="Q616" i="13"/>
  <c r="Q714" i="13"/>
  <c r="T714" i="13" s="1"/>
  <c r="T716" i="13"/>
  <c r="M690" i="13"/>
  <c r="P690" i="13" s="1"/>
  <c r="P692" i="13"/>
  <c r="T691" i="13"/>
  <c r="Q601" i="13"/>
  <c r="T601" i="13" s="1"/>
  <c r="U617" i="13"/>
  <c r="L557" i="13"/>
  <c r="O557" i="13" s="1"/>
  <c r="K615" i="13"/>
  <c r="O617" i="13"/>
  <c r="K631" i="13"/>
  <c r="K630" i="13"/>
  <c r="K626" i="13"/>
  <c r="M642" i="13"/>
  <c r="P642" i="13" s="1"/>
  <c r="L760" i="13"/>
  <c r="O760" i="13" s="1"/>
  <c r="O762" i="13"/>
  <c r="R730" i="13"/>
  <c r="U730" i="13" s="1"/>
  <c r="U733" i="13"/>
  <c r="R394" i="12"/>
  <c r="R395" i="12"/>
  <c r="U395" i="12" s="1"/>
  <c r="U397" i="12"/>
  <c r="K116" i="9"/>
  <c r="L235" i="9"/>
  <c r="R175" i="10"/>
  <c r="R173" i="10" s="1"/>
  <c r="U173" i="10" s="1"/>
  <c r="S96" i="11"/>
  <c r="S94" i="11" s="1"/>
  <c r="Q119" i="11"/>
  <c r="Q117" i="11" s="1"/>
  <c r="K458" i="11"/>
  <c r="Q762" i="11"/>
  <c r="Q760" i="11" s="1"/>
  <c r="T760" i="11" s="1"/>
  <c r="N61" i="12"/>
  <c r="N59" i="12" s="1"/>
  <c r="R23" i="12"/>
  <c r="R21" i="12" s="1"/>
  <c r="L119" i="12"/>
  <c r="O119" i="12" s="1"/>
  <c r="Q141" i="12"/>
  <c r="Q139" i="12" s="1"/>
  <c r="P178" i="12"/>
  <c r="S618" i="12"/>
  <c r="S616" i="12" s="1"/>
  <c r="S619" i="12"/>
  <c r="I280" i="9"/>
  <c r="K280" i="9" s="1"/>
  <c r="R142" i="10"/>
  <c r="U142" i="10" s="1"/>
  <c r="U122" i="11"/>
  <c r="M119" i="12"/>
  <c r="M117" i="12" s="1"/>
  <c r="P117" i="12" s="1"/>
  <c r="T189" i="12"/>
  <c r="L203" i="12"/>
  <c r="O203" i="12" s="1"/>
  <c r="N561" i="12"/>
  <c r="N557" i="12"/>
  <c r="N555" i="12" s="1"/>
  <c r="L188" i="11"/>
  <c r="L186" i="11" s="1"/>
  <c r="L236" i="11"/>
  <c r="Q306" i="11"/>
  <c r="T306" i="11" s="1"/>
  <c r="R415" i="11"/>
  <c r="R413" i="11" s="1"/>
  <c r="R605" i="11"/>
  <c r="U605" i="11" s="1"/>
  <c r="O64" i="12"/>
  <c r="Q74" i="12"/>
  <c r="Q72" i="12" s="1"/>
  <c r="T72" i="12" s="1"/>
  <c r="T77" i="12"/>
  <c r="Q96" i="12"/>
  <c r="T96" i="12" s="1"/>
  <c r="N119" i="12"/>
  <c r="N117" i="12" s="1"/>
  <c r="R159" i="12"/>
  <c r="U159" i="12" s="1"/>
  <c r="U191" i="12"/>
  <c r="I221" i="12"/>
  <c r="K221" i="12" s="1"/>
  <c r="O560" i="12"/>
  <c r="L558" i="12"/>
  <c r="O558" i="12" s="1"/>
  <c r="L557" i="12"/>
  <c r="O557" i="12" s="1"/>
  <c r="L537" i="11"/>
  <c r="O537" i="11" s="1"/>
  <c r="I689" i="11"/>
  <c r="Q119" i="12"/>
  <c r="N141" i="12"/>
  <c r="N139" i="12" s="1"/>
  <c r="O142" i="12"/>
  <c r="T271" i="12"/>
  <c r="S269" i="12"/>
  <c r="T125" i="12"/>
  <c r="P142" i="12"/>
  <c r="T194" i="12"/>
  <c r="L254" i="12"/>
  <c r="O254" i="12" s="1"/>
  <c r="Q269" i="12"/>
  <c r="K457" i="12"/>
  <c r="R605" i="12"/>
  <c r="U605" i="12" s="1"/>
  <c r="I615" i="12"/>
  <c r="K615" i="12" s="1"/>
  <c r="S644" i="12"/>
  <c r="S642" i="12" s="1"/>
  <c r="K727" i="12"/>
  <c r="M322" i="12"/>
  <c r="P322" i="12" s="1"/>
  <c r="T397" i="12"/>
  <c r="J503" i="12"/>
  <c r="J492" i="12" s="1"/>
  <c r="J701" i="12"/>
  <c r="K779" i="12"/>
  <c r="R377" i="12"/>
  <c r="U377" i="12" s="1"/>
  <c r="Q395" i="12"/>
  <c r="T395" i="12" s="1"/>
  <c r="S601" i="12"/>
  <c r="S599" i="12" s="1"/>
  <c r="K369" i="12"/>
  <c r="U498" i="12"/>
  <c r="P604" i="12"/>
  <c r="K629" i="12"/>
  <c r="U271" i="12"/>
  <c r="K292" i="12"/>
  <c r="N305" i="12"/>
  <c r="N303" i="12" s="1"/>
  <c r="K778" i="12"/>
  <c r="L578" i="1"/>
  <c r="O578" i="1" s="1"/>
  <c r="M602" i="11"/>
  <c r="P602" i="11" s="1"/>
  <c r="O49" i="12"/>
  <c r="L74" i="12"/>
  <c r="R74" i="12"/>
  <c r="R75" i="12"/>
  <c r="U75" i="12" s="1"/>
  <c r="K108" i="12"/>
  <c r="T142" i="12"/>
  <c r="T144" i="12"/>
  <c r="S159" i="12"/>
  <c r="S157" i="12" s="1"/>
  <c r="N269" i="12"/>
  <c r="O269" i="12" s="1"/>
  <c r="N268" i="12"/>
  <c r="N266" i="12" s="1"/>
  <c r="K386" i="12"/>
  <c r="L203" i="1"/>
  <c r="P287" i="12"/>
  <c r="M285" i="12"/>
  <c r="P285" i="12" s="1"/>
  <c r="L78" i="9"/>
  <c r="O78" i="9" s="1"/>
  <c r="U765" i="10"/>
  <c r="I221" i="11"/>
  <c r="K221" i="11" s="1"/>
  <c r="S305" i="11"/>
  <c r="S303" i="11" s="1"/>
  <c r="T303" i="11" s="1"/>
  <c r="L323" i="11"/>
  <c r="O323" i="11" s="1"/>
  <c r="K330" i="11"/>
  <c r="L377" i="11"/>
  <c r="O377" i="11" s="1"/>
  <c r="N495" i="11"/>
  <c r="N493" i="11" s="1"/>
  <c r="K703" i="11"/>
  <c r="K778" i="11"/>
  <c r="K784" i="11"/>
  <c r="L23" i="12"/>
  <c r="L21" i="12" s="1"/>
  <c r="R26" i="12"/>
  <c r="N46" i="12"/>
  <c r="N44" i="12" s="1"/>
  <c r="P49" i="12"/>
  <c r="M74" i="12"/>
  <c r="P74" i="12" s="1"/>
  <c r="S74" i="12"/>
  <c r="S72" i="12" s="1"/>
  <c r="T122" i="12"/>
  <c r="U144" i="12"/>
  <c r="K152" i="12"/>
  <c r="L159" i="12"/>
  <c r="O159" i="12" s="1"/>
  <c r="U178" i="12"/>
  <c r="K209" i="12"/>
  <c r="I202" i="12"/>
  <c r="K202" i="12" s="1"/>
  <c r="R268" i="12"/>
  <c r="R266" i="12" s="1"/>
  <c r="M335" i="12"/>
  <c r="M333" i="12" s="1"/>
  <c r="P380" i="12"/>
  <c r="K784" i="12"/>
  <c r="U695" i="12"/>
  <c r="R693" i="12"/>
  <c r="R96" i="10"/>
  <c r="U96" i="10" s="1"/>
  <c r="Q192" i="11"/>
  <c r="T192" i="11" s="1"/>
  <c r="Q377" i="11"/>
  <c r="T377" i="11" s="1"/>
  <c r="T415" i="11"/>
  <c r="I492" i="11"/>
  <c r="K492" i="11" s="1"/>
  <c r="O563" i="11"/>
  <c r="R619" i="11"/>
  <c r="U619" i="11" s="1"/>
  <c r="M23" i="12"/>
  <c r="M21" i="12" s="1"/>
  <c r="S26" i="12"/>
  <c r="S24" i="12" s="1"/>
  <c r="N74" i="12"/>
  <c r="N72" i="12" s="1"/>
  <c r="O77" i="12"/>
  <c r="U77" i="12"/>
  <c r="P80" i="12"/>
  <c r="I82" i="12"/>
  <c r="K82" i="12" s="1"/>
  <c r="T99" i="12"/>
  <c r="R141" i="12"/>
  <c r="R139" i="12" s="1"/>
  <c r="O144" i="12"/>
  <c r="Q145" i="12"/>
  <c r="T145" i="12" s="1"/>
  <c r="M159" i="12"/>
  <c r="M157" i="12" s="1"/>
  <c r="P157" i="12" s="1"/>
  <c r="L176" i="12"/>
  <c r="O176" i="12" s="1"/>
  <c r="O178" i="12"/>
  <c r="M175" i="12"/>
  <c r="M173" i="12" s="1"/>
  <c r="I213" i="12"/>
  <c r="K213" i="12" s="1"/>
  <c r="K220" i="12"/>
  <c r="P274" i="12"/>
  <c r="M272" i="12"/>
  <c r="P272" i="12" s="1"/>
  <c r="Q305" i="12"/>
  <c r="Q306" i="12"/>
  <c r="T306" i="12" s="1"/>
  <c r="L322" i="12"/>
  <c r="O322" i="12" s="1"/>
  <c r="L323" i="12"/>
  <c r="O323" i="12" s="1"/>
  <c r="M339" i="12"/>
  <c r="P339" i="12" s="1"/>
  <c r="M378" i="12"/>
  <c r="P378" i="12" s="1"/>
  <c r="N536" i="12"/>
  <c r="N534" i="12" s="1"/>
  <c r="P584" i="12"/>
  <c r="M582" i="12"/>
  <c r="P582" i="12" s="1"/>
  <c r="M578" i="12"/>
  <c r="I759" i="12"/>
  <c r="K759" i="12" s="1"/>
  <c r="K774" i="12"/>
  <c r="P271" i="12"/>
  <c r="M269" i="12"/>
  <c r="M268" i="12"/>
  <c r="Q159" i="9"/>
  <c r="Q157" i="9" s="1"/>
  <c r="T157" i="9" s="1"/>
  <c r="R97" i="10"/>
  <c r="U97" i="10" s="1"/>
  <c r="L192" i="10"/>
  <c r="O192" i="10" s="1"/>
  <c r="I213" i="10"/>
  <c r="K213" i="10" s="1"/>
  <c r="Q189" i="11"/>
  <c r="R192" i="11"/>
  <c r="U192" i="11" s="1"/>
  <c r="K276" i="11"/>
  <c r="L378" i="11"/>
  <c r="O378" i="11" s="1"/>
  <c r="L415" i="11"/>
  <c r="L413" i="11" s="1"/>
  <c r="L419" i="11"/>
  <c r="O419" i="11" s="1"/>
  <c r="S619" i="11"/>
  <c r="J675" i="11"/>
  <c r="K782" i="11"/>
  <c r="P77" i="12"/>
  <c r="Q26" i="12"/>
  <c r="L96" i="12"/>
  <c r="O96" i="12" s="1"/>
  <c r="I116" i="12"/>
  <c r="K116" i="12" s="1"/>
  <c r="L141" i="12"/>
  <c r="L139" i="12" s="1"/>
  <c r="S141" i="12"/>
  <c r="S139" i="12" s="1"/>
  <c r="U147" i="12"/>
  <c r="N159" i="12"/>
  <c r="N157" i="12" s="1"/>
  <c r="M176" i="12"/>
  <c r="P176" i="12" s="1"/>
  <c r="M179" i="12"/>
  <c r="P179" i="12" s="1"/>
  <c r="M188" i="12"/>
  <c r="M186" i="12" s="1"/>
  <c r="N188" i="12"/>
  <c r="N186" i="12" s="1"/>
  <c r="N189" i="12"/>
  <c r="O189" i="12" s="1"/>
  <c r="R192" i="12"/>
  <c r="U192" i="12" s="1"/>
  <c r="L243" i="12"/>
  <c r="O243" i="12" s="1"/>
  <c r="N288" i="12"/>
  <c r="N284" i="12"/>
  <c r="N282" i="12" s="1"/>
  <c r="I280" i="12"/>
  <c r="K280" i="12" s="1"/>
  <c r="K293" i="12"/>
  <c r="S305" i="12"/>
  <c r="S303" i="12" s="1"/>
  <c r="N416" i="12"/>
  <c r="N415" i="12"/>
  <c r="N413" i="12" s="1"/>
  <c r="O521" i="12"/>
  <c r="L515" i="12"/>
  <c r="L519" i="12"/>
  <c r="O519" i="12" s="1"/>
  <c r="N605" i="12"/>
  <c r="N601" i="12"/>
  <c r="L232" i="1"/>
  <c r="O232" i="1" s="1"/>
  <c r="R618" i="12"/>
  <c r="R616" i="12" s="1"/>
  <c r="R619" i="12"/>
  <c r="U621" i="12"/>
  <c r="M335" i="9"/>
  <c r="M333" i="9" s="1"/>
  <c r="M578" i="9"/>
  <c r="M576" i="9" s="1"/>
  <c r="P178" i="10"/>
  <c r="O52" i="11"/>
  <c r="L519" i="11"/>
  <c r="O519" i="11" s="1"/>
  <c r="N601" i="11"/>
  <c r="N599" i="11" s="1"/>
  <c r="S23" i="12"/>
  <c r="Q23" i="12"/>
  <c r="Q21" i="12" s="1"/>
  <c r="Q78" i="12"/>
  <c r="T78" i="12" s="1"/>
  <c r="M96" i="12"/>
  <c r="M94" i="12" s="1"/>
  <c r="P94" i="12" s="1"/>
  <c r="M141" i="12"/>
  <c r="O147" i="12"/>
  <c r="I156" i="12"/>
  <c r="K156" i="12" s="1"/>
  <c r="Q159" i="12"/>
  <c r="T159" i="12" s="1"/>
  <c r="R188" i="12"/>
  <c r="R186" i="12" s="1"/>
  <c r="P191" i="12"/>
  <c r="O194" i="12"/>
  <c r="L188" i="12"/>
  <c r="L186" i="12" s="1"/>
  <c r="L268" i="12"/>
  <c r="L266" i="12" s="1"/>
  <c r="R269" i="12"/>
  <c r="O271" i="12"/>
  <c r="L284" i="12"/>
  <c r="O284" i="12" s="1"/>
  <c r="O290" i="12"/>
  <c r="P308" i="12"/>
  <c r="M306" i="12"/>
  <c r="P306" i="12" s="1"/>
  <c r="M305" i="12"/>
  <c r="J332" i="12"/>
  <c r="K332" i="12" s="1"/>
  <c r="P364" i="12"/>
  <c r="M362" i="12"/>
  <c r="P362" i="12" s="1"/>
  <c r="R378" i="12"/>
  <c r="O380" i="12"/>
  <c r="L378" i="12"/>
  <c r="O378" i="12" s="1"/>
  <c r="L377" i="12"/>
  <c r="M419" i="12"/>
  <c r="P419" i="12" s="1"/>
  <c r="K780" i="12"/>
  <c r="L214" i="12"/>
  <c r="O214" i="12" s="1"/>
  <c r="L236" i="12"/>
  <c r="N495" i="12"/>
  <c r="N493" i="12" s="1"/>
  <c r="O501" i="12"/>
  <c r="O539" i="12"/>
  <c r="R601" i="12"/>
  <c r="U601" i="12" s="1"/>
  <c r="O607" i="12"/>
  <c r="K631" i="12"/>
  <c r="T695" i="12"/>
  <c r="J689" i="12"/>
  <c r="S731" i="12"/>
  <c r="U731" i="12" s="1"/>
  <c r="T765" i="12"/>
  <c r="U189" i="12"/>
  <c r="L222" i="12"/>
  <c r="O222" i="12" s="1"/>
  <c r="Q266" i="12"/>
  <c r="P338" i="12"/>
  <c r="L415" i="12"/>
  <c r="L413" i="12" s="1"/>
  <c r="O413" i="12" s="1"/>
  <c r="S730" i="12"/>
  <c r="S728" i="12" s="1"/>
  <c r="I758" i="12"/>
  <c r="K758" i="12" s="1"/>
  <c r="U763" i="12"/>
  <c r="T763" i="12"/>
  <c r="S495" i="12"/>
  <c r="S493" i="12" s="1"/>
  <c r="M558" i="12"/>
  <c r="P558" i="12" s="1"/>
  <c r="M602" i="12"/>
  <c r="P602" i="12" s="1"/>
  <c r="J674" i="12"/>
  <c r="P19" i="12"/>
  <c r="U19" i="12"/>
  <c r="L74" i="9"/>
  <c r="L72" i="9" s="1"/>
  <c r="L163" i="9"/>
  <c r="O163" i="9" s="1"/>
  <c r="U621" i="10"/>
  <c r="S693" i="10"/>
  <c r="U693" i="10" s="1"/>
  <c r="N74" i="11"/>
  <c r="N72" i="11" s="1"/>
  <c r="R120" i="11"/>
  <c r="U120" i="11" s="1"/>
  <c r="S141" i="11"/>
  <c r="S139" i="11" s="1"/>
  <c r="N159" i="11"/>
  <c r="N157" i="11" s="1"/>
  <c r="U191" i="11"/>
  <c r="K209" i="11"/>
  <c r="L233" i="11"/>
  <c r="J332" i="11"/>
  <c r="K332" i="11" s="1"/>
  <c r="S378" i="11"/>
  <c r="T378" i="11" s="1"/>
  <c r="M381" i="11"/>
  <c r="P381" i="11" s="1"/>
  <c r="P501" i="11"/>
  <c r="N515" i="11"/>
  <c r="N513" i="11" s="1"/>
  <c r="M557" i="11"/>
  <c r="M555" i="11" s="1"/>
  <c r="P555" i="11" s="1"/>
  <c r="P581" i="11"/>
  <c r="Q692" i="11"/>
  <c r="T692" i="11" s="1"/>
  <c r="S693" i="11"/>
  <c r="T693" i="11" s="1"/>
  <c r="J701" i="11"/>
  <c r="Q763" i="11"/>
  <c r="T763" i="11" s="1"/>
  <c r="N23" i="12"/>
  <c r="N97" i="12"/>
  <c r="N96" i="10"/>
  <c r="N94" i="10" s="1"/>
  <c r="S644" i="10"/>
  <c r="S642" i="10" s="1"/>
  <c r="Q74" i="11"/>
  <c r="T74" i="11" s="1"/>
  <c r="T77" i="11"/>
  <c r="L305" i="11"/>
  <c r="O305" i="11" s="1"/>
  <c r="N496" i="11"/>
  <c r="I758" i="11"/>
  <c r="K758" i="11" s="1"/>
  <c r="O22" i="12"/>
  <c r="T120" i="12"/>
  <c r="L335" i="11"/>
  <c r="L333" i="11" s="1"/>
  <c r="K368" i="11"/>
  <c r="K365" i="11"/>
  <c r="P22" i="12"/>
  <c r="P47" i="12"/>
  <c r="M50" i="12"/>
  <c r="P50" i="12" s="1"/>
  <c r="M26" i="12"/>
  <c r="M24" i="12" s="1"/>
  <c r="P52" i="12"/>
  <c r="M46" i="12"/>
  <c r="P62" i="12"/>
  <c r="M65" i="12"/>
  <c r="P65" i="12" s="1"/>
  <c r="P67" i="12"/>
  <c r="M61" i="12"/>
  <c r="U95" i="12"/>
  <c r="U118" i="12"/>
  <c r="U142" i="12"/>
  <c r="N214" i="1"/>
  <c r="O214" i="1" s="1"/>
  <c r="K780" i="11"/>
  <c r="P25" i="12"/>
  <c r="O95" i="12"/>
  <c r="O118" i="12"/>
  <c r="S175" i="8"/>
  <c r="S173" i="8" s="1"/>
  <c r="I374" i="10"/>
  <c r="S619" i="10"/>
  <c r="O191" i="11"/>
  <c r="I238" i="11"/>
  <c r="K238" i="11" s="1"/>
  <c r="M519" i="11"/>
  <c r="P519" i="11" s="1"/>
  <c r="T695" i="11"/>
  <c r="N160" i="1"/>
  <c r="M96" i="11"/>
  <c r="M94" i="11" s="1"/>
  <c r="P94" i="11" s="1"/>
  <c r="K249" i="11"/>
  <c r="N284" i="11"/>
  <c r="N282" i="11" s="1"/>
  <c r="L381" i="11"/>
  <c r="O381" i="11" s="1"/>
  <c r="M561" i="11"/>
  <c r="P561" i="11" s="1"/>
  <c r="O19" i="12"/>
  <c r="U22" i="12"/>
  <c r="I83" i="12"/>
  <c r="K87" i="12"/>
  <c r="N26" i="12"/>
  <c r="N24" i="12" s="1"/>
  <c r="N100" i="12"/>
  <c r="O99" i="12"/>
  <c r="U99" i="12"/>
  <c r="O102" i="12"/>
  <c r="O122" i="12"/>
  <c r="U122" i="12"/>
  <c r="O125" i="12"/>
  <c r="U125" i="12"/>
  <c r="P144" i="12"/>
  <c r="P147" i="12"/>
  <c r="O162" i="12"/>
  <c r="U162" i="12"/>
  <c r="O165" i="12"/>
  <c r="U174" i="12"/>
  <c r="Q175" i="12"/>
  <c r="T175" i="12" s="1"/>
  <c r="U267" i="12"/>
  <c r="O325" i="12"/>
  <c r="O328" i="12"/>
  <c r="N336" i="12"/>
  <c r="P336" i="12" s="1"/>
  <c r="N335" i="12"/>
  <c r="N333" i="12" s="1"/>
  <c r="Q356" i="12"/>
  <c r="T356" i="12" s="1"/>
  <c r="L362" i="12"/>
  <c r="O362" i="12" s="1"/>
  <c r="M381" i="12"/>
  <c r="P381" i="12" s="1"/>
  <c r="Q392" i="12"/>
  <c r="T392" i="12" s="1"/>
  <c r="S413" i="12"/>
  <c r="L46" i="12"/>
  <c r="O52" i="12"/>
  <c r="L61" i="12"/>
  <c r="O67" i="12"/>
  <c r="P99" i="12"/>
  <c r="P102" i="12"/>
  <c r="P122" i="12"/>
  <c r="P125" i="12"/>
  <c r="P162" i="12"/>
  <c r="P165" i="12"/>
  <c r="T178" i="12"/>
  <c r="P181" i="12"/>
  <c r="O191" i="12"/>
  <c r="P194" i="12"/>
  <c r="S268" i="12"/>
  <c r="O287" i="12"/>
  <c r="O308" i="12"/>
  <c r="T321" i="12"/>
  <c r="P328" i="12"/>
  <c r="S333" i="12"/>
  <c r="O338" i="12"/>
  <c r="L359" i="12"/>
  <c r="O359" i="12" s="1"/>
  <c r="O361" i="12"/>
  <c r="L358" i="12"/>
  <c r="T380" i="12"/>
  <c r="Q377" i="12"/>
  <c r="T377" i="12" s="1"/>
  <c r="Q378" i="12"/>
  <c r="L26" i="12"/>
  <c r="L24" i="12" s="1"/>
  <c r="Q188" i="12"/>
  <c r="T191" i="12"/>
  <c r="T284" i="12"/>
  <c r="P361" i="12"/>
  <c r="M358" i="12"/>
  <c r="M359" i="12"/>
  <c r="P359" i="12" s="1"/>
  <c r="T577" i="12"/>
  <c r="Q576" i="12"/>
  <c r="T576" i="12" s="1"/>
  <c r="I136" i="12"/>
  <c r="K136" i="12" s="1"/>
  <c r="N175" i="12"/>
  <c r="L192" i="12"/>
  <c r="O192" i="12" s="1"/>
  <c r="L235" i="12"/>
  <c r="O341" i="12"/>
  <c r="L335" i="12"/>
  <c r="L339" i="12"/>
  <c r="O339" i="12" s="1"/>
  <c r="P357" i="12"/>
  <c r="I374" i="12"/>
  <c r="S394" i="12"/>
  <c r="S392" i="12" s="1"/>
  <c r="S395" i="12"/>
  <c r="T418" i="12"/>
  <c r="Q415" i="12"/>
  <c r="Q416" i="12"/>
  <c r="T416" i="12" s="1"/>
  <c r="K440" i="12"/>
  <c r="I423" i="12"/>
  <c r="R305" i="12"/>
  <c r="R306" i="12"/>
  <c r="U306" i="12" s="1"/>
  <c r="I365" i="12"/>
  <c r="K365" i="12" s="1"/>
  <c r="K371" i="12"/>
  <c r="P376" i="12"/>
  <c r="T498" i="12"/>
  <c r="Q496" i="12"/>
  <c r="T496" i="12" s="1"/>
  <c r="Q495" i="12"/>
  <c r="P290" i="12"/>
  <c r="M284" i="12"/>
  <c r="O421" i="12"/>
  <c r="L419" i="12"/>
  <c r="O419" i="12" s="1"/>
  <c r="T536" i="12"/>
  <c r="Q534" i="12"/>
  <c r="T534" i="12" s="1"/>
  <c r="R356" i="12"/>
  <c r="U356" i="12" s="1"/>
  <c r="N377" i="12"/>
  <c r="N375" i="12" s="1"/>
  <c r="M415" i="12"/>
  <c r="M516" i="12"/>
  <c r="P516" i="12" s="1"/>
  <c r="M515" i="12"/>
  <c r="P515" i="12" s="1"/>
  <c r="U556" i="12"/>
  <c r="R555" i="12"/>
  <c r="U555" i="12" s="1"/>
  <c r="Q513" i="12"/>
  <c r="T513" i="12" s="1"/>
  <c r="T514" i="12"/>
  <c r="S534" i="12"/>
  <c r="O556" i="12"/>
  <c r="L233" i="12"/>
  <c r="R282" i="12"/>
  <c r="U282" i="12" s="1"/>
  <c r="O357" i="12"/>
  <c r="M392" i="12"/>
  <c r="P392" i="12" s="1"/>
  <c r="O498" i="12"/>
  <c r="U514" i="12"/>
  <c r="R513" i="12"/>
  <c r="U513" i="12" s="1"/>
  <c r="P518" i="12"/>
  <c r="P535" i="12"/>
  <c r="U535" i="12"/>
  <c r="O494" i="12"/>
  <c r="P539" i="12"/>
  <c r="M536" i="12"/>
  <c r="P536" i="12" s="1"/>
  <c r="P563" i="12"/>
  <c r="M557" i="12"/>
  <c r="M642" i="12"/>
  <c r="P642" i="12" s="1"/>
  <c r="P644" i="12"/>
  <c r="L760" i="12"/>
  <c r="O760" i="12" s="1"/>
  <c r="O762" i="12"/>
  <c r="O542" i="12"/>
  <c r="L536" i="12"/>
  <c r="O536" i="12" s="1"/>
  <c r="Q601" i="12"/>
  <c r="U617" i="12"/>
  <c r="T643" i="12"/>
  <c r="Q642" i="12"/>
  <c r="T642" i="12" s="1"/>
  <c r="M690" i="12"/>
  <c r="P690" i="12" s="1"/>
  <c r="P692" i="12"/>
  <c r="U600" i="12"/>
  <c r="O617" i="12"/>
  <c r="L616" i="12"/>
  <c r="O616" i="12" s="1"/>
  <c r="T691" i="12"/>
  <c r="O577" i="12"/>
  <c r="N578" i="12"/>
  <c r="N576" i="12" s="1"/>
  <c r="L582" i="12"/>
  <c r="O582" i="12" s="1"/>
  <c r="O584" i="12"/>
  <c r="L578" i="12"/>
  <c r="O578" i="12" s="1"/>
  <c r="Q714" i="12"/>
  <c r="T714" i="12" s="1"/>
  <c r="T716" i="12"/>
  <c r="T621" i="12"/>
  <c r="Q618" i="12"/>
  <c r="Q619" i="12"/>
  <c r="K705" i="12"/>
  <c r="I701" i="12"/>
  <c r="R760" i="12"/>
  <c r="K626" i="12"/>
  <c r="R730" i="12"/>
  <c r="U733" i="12"/>
  <c r="S762" i="12"/>
  <c r="S760" i="12" s="1"/>
  <c r="S693" i="12"/>
  <c r="R644" i="12"/>
  <c r="R692" i="12"/>
  <c r="Q762" i="12"/>
  <c r="S601" i="11"/>
  <c r="S599" i="11" s="1"/>
  <c r="L268" i="10"/>
  <c r="K330" i="10"/>
  <c r="M499" i="10"/>
  <c r="P499" i="10" s="1"/>
  <c r="R644" i="10"/>
  <c r="U644" i="10" s="1"/>
  <c r="J674" i="10"/>
  <c r="I137" i="11"/>
  <c r="K137" i="11" s="1"/>
  <c r="L234" i="11"/>
  <c r="L322" i="11"/>
  <c r="L320" i="11" s="1"/>
  <c r="O320" i="11" s="1"/>
  <c r="N326" i="11"/>
  <c r="P539" i="11"/>
  <c r="U695" i="11"/>
  <c r="K727" i="11"/>
  <c r="K783" i="11"/>
  <c r="J701" i="9"/>
  <c r="L50" i="10"/>
  <c r="O50" i="10" s="1"/>
  <c r="M285" i="10"/>
  <c r="P285" i="10" s="1"/>
  <c r="L46" i="11"/>
  <c r="O46" i="11" s="1"/>
  <c r="M119" i="11"/>
  <c r="P119" i="11" s="1"/>
  <c r="N188" i="11"/>
  <c r="N186" i="11" s="1"/>
  <c r="M268" i="11"/>
  <c r="M266" i="11" s="1"/>
  <c r="M284" i="11"/>
  <c r="P284" i="11" s="1"/>
  <c r="T308" i="11"/>
  <c r="L336" i="11"/>
  <c r="J374" i="11"/>
  <c r="P418" i="11"/>
  <c r="I374" i="9"/>
  <c r="K374" i="9" s="1"/>
  <c r="R605" i="9"/>
  <c r="U605" i="9" s="1"/>
  <c r="O47" i="10"/>
  <c r="R123" i="10"/>
  <c r="U123" i="10" s="1"/>
  <c r="M305" i="10"/>
  <c r="P305" i="10" s="1"/>
  <c r="L377" i="10"/>
  <c r="L375" i="10" s="1"/>
  <c r="L558" i="10"/>
  <c r="O558" i="10" s="1"/>
  <c r="M100" i="11"/>
  <c r="P100" i="11" s="1"/>
  <c r="Q26" i="11"/>
  <c r="T26" i="11" s="1"/>
  <c r="Q141" i="11"/>
  <c r="T141" i="11" s="1"/>
  <c r="Q188" i="11"/>
  <c r="Q186" i="11" s="1"/>
  <c r="O189" i="11"/>
  <c r="T380" i="11"/>
  <c r="M415" i="11"/>
  <c r="M413" i="11" s="1"/>
  <c r="K781" i="11"/>
  <c r="Q602" i="9"/>
  <c r="T602" i="9" s="1"/>
  <c r="P47" i="10"/>
  <c r="N268" i="10"/>
  <c r="N266" i="10" s="1"/>
  <c r="L288" i="10"/>
  <c r="O288" i="10" s="1"/>
  <c r="K293" i="10"/>
  <c r="J675" i="10"/>
  <c r="R23" i="11"/>
  <c r="R21" i="11" s="1"/>
  <c r="M288" i="11"/>
  <c r="P288" i="11" s="1"/>
  <c r="O308" i="11"/>
  <c r="N516" i="11"/>
  <c r="N536" i="11"/>
  <c r="N534" i="11" s="1"/>
  <c r="L557" i="11"/>
  <c r="O557" i="11" s="1"/>
  <c r="U647" i="11"/>
  <c r="O274" i="10"/>
  <c r="K779" i="10"/>
  <c r="T80" i="11"/>
  <c r="L120" i="11"/>
  <c r="O120" i="11" s="1"/>
  <c r="N175" i="11"/>
  <c r="N173" i="11" s="1"/>
  <c r="I195" i="11"/>
  <c r="K195" i="11" s="1"/>
  <c r="L222" i="11"/>
  <c r="O222" i="11" s="1"/>
  <c r="L339" i="11"/>
  <c r="O339" i="11" s="1"/>
  <c r="J351" i="11"/>
  <c r="O364" i="11"/>
  <c r="P380" i="11"/>
  <c r="O418" i="11"/>
  <c r="L496" i="11"/>
  <c r="O496" i="11" s="1"/>
  <c r="N557" i="11"/>
  <c r="N555" i="11" s="1"/>
  <c r="U621" i="11"/>
  <c r="K779" i="11"/>
  <c r="K785" i="11"/>
  <c r="I116" i="11"/>
  <c r="K116" i="11" s="1"/>
  <c r="K127" i="11"/>
  <c r="N142" i="11"/>
  <c r="N141" i="11"/>
  <c r="N139" i="11" s="1"/>
  <c r="S269" i="11"/>
  <c r="S268" i="11"/>
  <c r="T268" i="11" s="1"/>
  <c r="K440" i="11"/>
  <c r="I423" i="11"/>
  <c r="P498" i="11"/>
  <c r="M495" i="11"/>
  <c r="N141" i="10"/>
  <c r="N139" i="10" s="1"/>
  <c r="N120" i="11"/>
  <c r="N119" i="11"/>
  <c r="N117" i="11" s="1"/>
  <c r="P165" i="11"/>
  <c r="M163" i="11"/>
  <c r="P163" i="11" s="1"/>
  <c r="L269" i="11"/>
  <c r="O269" i="11" s="1"/>
  <c r="O271" i="11"/>
  <c r="U271" i="11"/>
  <c r="K292" i="11"/>
  <c r="I281" i="11"/>
  <c r="K281" i="11" s="1"/>
  <c r="R394" i="11"/>
  <c r="R395" i="11"/>
  <c r="U395" i="11" s="1"/>
  <c r="U397" i="11"/>
  <c r="R601" i="11"/>
  <c r="U604" i="11"/>
  <c r="L120" i="9"/>
  <c r="O120" i="9" s="1"/>
  <c r="S159" i="9"/>
  <c r="S157" i="9" s="1"/>
  <c r="I265" i="9"/>
  <c r="K265" i="9" s="1"/>
  <c r="N284" i="9"/>
  <c r="N282" i="9" s="1"/>
  <c r="K127" i="10"/>
  <c r="N272" i="10"/>
  <c r="P274" i="10"/>
  <c r="R415" i="10"/>
  <c r="U415" i="10" s="1"/>
  <c r="K785" i="10"/>
  <c r="M50" i="11"/>
  <c r="P50" i="11" s="1"/>
  <c r="L65" i="11"/>
  <c r="O65" i="11" s="1"/>
  <c r="N96" i="11"/>
  <c r="N94" i="11" s="1"/>
  <c r="R141" i="11"/>
  <c r="R139" i="11" s="1"/>
  <c r="U139" i="11" s="1"/>
  <c r="R188" i="11"/>
  <c r="O287" i="11"/>
  <c r="I280" i="11"/>
  <c r="K280" i="11" s="1"/>
  <c r="K293" i="11"/>
  <c r="M305" i="11"/>
  <c r="P305" i="11" s="1"/>
  <c r="K314" i="11"/>
  <c r="I302" i="11"/>
  <c r="K302" i="11" s="1"/>
  <c r="O328" i="11"/>
  <c r="L326" i="11"/>
  <c r="O326" i="11" s="1"/>
  <c r="J343" i="11"/>
  <c r="T498" i="11"/>
  <c r="Q496" i="11"/>
  <c r="T496" i="11" s="1"/>
  <c r="Q495" i="11"/>
  <c r="R602" i="11"/>
  <c r="U602" i="11" s="1"/>
  <c r="L602" i="11"/>
  <c r="O602" i="11" s="1"/>
  <c r="O604" i="11"/>
  <c r="L601" i="11"/>
  <c r="I238" i="10"/>
  <c r="K238" i="10" s="1"/>
  <c r="S415" i="10"/>
  <c r="S413" i="10" s="1"/>
  <c r="T498" i="10"/>
  <c r="M26" i="11"/>
  <c r="P26" i="11" s="1"/>
  <c r="M65" i="11"/>
  <c r="P65" i="11" s="1"/>
  <c r="I83" i="11"/>
  <c r="K83" i="11" s="1"/>
  <c r="I93" i="11"/>
  <c r="K93" i="11" s="1"/>
  <c r="K109" i="11"/>
  <c r="S176" i="11"/>
  <c r="P178" i="11"/>
  <c r="M175" i="11"/>
  <c r="P194" i="11"/>
  <c r="L309" i="11"/>
  <c r="O309" i="11" s="1"/>
  <c r="O311" i="11"/>
  <c r="P341" i="11"/>
  <c r="M339" i="11"/>
  <c r="P339" i="11" s="1"/>
  <c r="P361" i="11"/>
  <c r="N359" i="11"/>
  <c r="P359" i="11" s="1"/>
  <c r="N358" i="11"/>
  <c r="N356" i="11" s="1"/>
  <c r="U380" i="11"/>
  <c r="R378" i="11"/>
  <c r="R377" i="11"/>
  <c r="U377" i="11" s="1"/>
  <c r="T125" i="9"/>
  <c r="I137" i="9"/>
  <c r="K137" i="9" s="1"/>
  <c r="Q496" i="10"/>
  <c r="T496" i="10" s="1"/>
  <c r="R762" i="10"/>
  <c r="R760" i="10" s="1"/>
  <c r="S26" i="11"/>
  <c r="S24" i="11" s="1"/>
  <c r="N23" i="11"/>
  <c r="N21" i="11" s="1"/>
  <c r="U99" i="11"/>
  <c r="R96" i="11"/>
  <c r="R97" i="11"/>
  <c r="U97" i="11" s="1"/>
  <c r="M120" i="11"/>
  <c r="P120" i="11" s="1"/>
  <c r="U125" i="11"/>
  <c r="R123" i="11"/>
  <c r="U123" i="11" s="1"/>
  <c r="S189" i="11"/>
  <c r="S188" i="11"/>
  <c r="S186" i="11" s="1"/>
  <c r="L268" i="11"/>
  <c r="L266" i="11" s="1"/>
  <c r="T271" i="11"/>
  <c r="R306" i="11"/>
  <c r="U306" i="11" s="1"/>
  <c r="R305" i="11"/>
  <c r="U308" i="11"/>
  <c r="P364" i="11"/>
  <c r="M362" i="11"/>
  <c r="P362" i="11" s="1"/>
  <c r="M377" i="11"/>
  <c r="L416" i="11"/>
  <c r="O416" i="11" s="1"/>
  <c r="M496" i="11"/>
  <c r="P496" i="11" s="1"/>
  <c r="T647" i="11"/>
  <c r="Q645" i="11"/>
  <c r="T645" i="11" s="1"/>
  <c r="Q644" i="11"/>
  <c r="T644" i="11" s="1"/>
  <c r="I759" i="11"/>
  <c r="K759" i="11" s="1"/>
  <c r="K774" i="11"/>
  <c r="K779" i="9"/>
  <c r="K785" i="9"/>
  <c r="N46" i="10"/>
  <c r="N44" i="10" s="1"/>
  <c r="M141" i="10"/>
  <c r="M139" i="10" s="1"/>
  <c r="P139" i="10" s="1"/>
  <c r="K346" i="10"/>
  <c r="R645" i="10"/>
  <c r="U645" i="10" s="1"/>
  <c r="K703" i="10"/>
  <c r="K781" i="10"/>
  <c r="K784" i="10"/>
  <c r="N61" i="11"/>
  <c r="N59" i="11" s="1"/>
  <c r="S74" i="11"/>
  <c r="S72" i="11" s="1"/>
  <c r="M97" i="11"/>
  <c r="P97" i="11" s="1"/>
  <c r="M123" i="11"/>
  <c r="P123" i="11" s="1"/>
  <c r="M159" i="11"/>
  <c r="R189" i="11"/>
  <c r="M189" i="11"/>
  <c r="P189" i="11" s="1"/>
  <c r="P191" i="11"/>
  <c r="M188" i="11"/>
  <c r="M186" i="11" s="1"/>
  <c r="R269" i="11"/>
  <c r="R268" i="11"/>
  <c r="R266" i="11" s="1"/>
  <c r="N309" i="11"/>
  <c r="N305" i="11"/>
  <c r="N303" i="11" s="1"/>
  <c r="P328" i="11"/>
  <c r="N377" i="11"/>
  <c r="N375" i="11" s="1"/>
  <c r="Q416" i="11"/>
  <c r="T418" i="11"/>
  <c r="M419" i="11"/>
  <c r="P419" i="11" s="1"/>
  <c r="P421" i="11"/>
  <c r="O581" i="11"/>
  <c r="L579" i="11"/>
  <c r="O579" i="11" s="1"/>
  <c r="S605" i="11"/>
  <c r="M605" i="11"/>
  <c r="P605" i="11" s="1"/>
  <c r="M601" i="11"/>
  <c r="P607" i="11"/>
  <c r="R763" i="11"/>
  <c r="U763" i="11" s="1"/>
  <c r="R762" i="11"/>
  <c r="R760" i="11" s="1"/>
  <c r="U760" i="11" s="1"/>
  <c r="U765" i="11"/>
  <c r="L175" i="11"/>
  <c r="O194" i="11"/>
  <c r="L243" i="11"/>
  <c r="O243" i="11" s="1"/>
  <c r="Q269" i="11"/>
  <c r="P269" i="11"/>
  <c r="K369" i="11"/>
  <c r="K386" i="11"/>
  <c r="Q413" i="11"/>
  <c r="N415" i="11"/>
  <c r="U418" i="11"/>
  <c r="L203" i="11"/>
  <c r="O203" i="11" s="1"/>
  <c r="L235" i="11"/>
  <c r="S413" i="11"/>
  <c r="P416" i="11"/>
  <c r="L499" i="11"/>
  <c r="O499" i="11" s="1"/>
  <c r="S644" i="11"/>
  <c r="S642" i="11" s="1"/>
  <c r="R692" i="11"/>
  <c r="U692" i="11" s="1"/>
  <c r="K709" i="11"/>
  <c r="S763" i="11"/>
  <c r="L214" i="11"/>
  <c r="O214" i="11" s="1"/>
  <c r="L254" i="11"/>
  <c r="O254" i="11" s="1"/>
  <c r="P518" i="11"/>
  <c r="J674" i="11"/>
  <c r="Q731" i="11"/>
  <c r="Q730" i="11"/>
  <c r="Q728" i="11" s="1"/>
  <c r="T728" i="11" s="1"/>
  <c r="Q157" i="11"/>
  <c r="T157" i="11" s="1"/>
  <c r="T159" i="11"/>
  <c r="T19" i="11"/>
  <c r="O45" i="11"/>
  <c r="M59" i="11"/>
  <c r="L62" i="11"/>
  <c r="O62" i="11" s="1"/>
  <c r="O64" i="11"/>
  <c r="O73" i="11"/>
  <c r="M75" i="11"/>
  <c r="P75" i="11" s="1"/>
  <c r="P77" i="11"/>
  <c r="I82" i="11"/>
  <c r="K86" i="11"/>
  <c r="T140" i="11"/>
  <c r="L142" i="11"/>
  <c r="O142" i="11" s="1"/>
  <c r="O144" i="11"/>
  <c r="R145" i="11"/>
  <c r="U145" i="11" s="1"/>
  <c r="U147" i="11"/>
  <c r="L160" i="11"/>
  <c r="O160" i="11" s="1"/>
  <c r="O162" i="11"/>
  <c r="T175" i="11"/>
  <c r="Q173" i="11"/>
  <c r="T173" i="11" s="1"/>
  <c r="U514" i="11"/>
  <c r="R513" i="11"/>
  <c r="U513" i="11" s="1"/>
  <c r="T621" i="11"/>
  <c r="Q618" i="11"/>
  <c r="T618" i="11" s="1"/>
  <c r="Q619" i="11"/>
  <c r="K632" i="11"/>
  <c r="K631" i="11"/>
  <c r="K630" i="11"/>
  <c r="K626" i="11"/>
  <c r="I615" i="11"/>
  <c r="K615" i="11" s="1"/>
  <c r="K629" i="11"/>
  <c r="Q714" i="11"/>
  <c r="T714" i="11" s="1"/>
  <c r="T716" i="11"/>
  <c r="S357" i="1"/>
  <c r="U147" i="8"/>
  <c r="M499" i="9"/>
  <c r="P499" i="9" s="1"/>
  <c r="N23" i="10"/>
  <c r="N21" i="10" s="1"/>
  <c r="N142" i="10"/>
  <c r="O144" i="10"/>
  <c r="Q159" i="10"/>
  <c r="T159" i="10" s="1"/>
  <c r="K229" i="10"/>
  <c r="L234" i="10"/>
  <c r="I253" i="10"/>
  <c r="K253" i="10" s="1"/>
  <c r="M326" i="10"/>
  <c r="P326" i="10" s="1"/>
  <c r="N358" i="10"/>
  <c r="N356" i="10" s="1"/>
  <c r="K368" i="10"/>
  <c r="K371" i="10"/>
  <c r="M419" i="10"/>
  <c r="P419" i="10" s="1"/>
  <c r="L519" i="10"/>
  <c r="O519" i="10" s="1"/>
  <c r="L540" i="10"/>
  <c r="O540" i="10" s="1"/>
  <c r="L557" i="10"/>
  <c r="O557" i="10" s="1"/>
  <c r="I758" i="10"/>
  <c r="K758" i="10" s="1"/>
  <c r="S23" i="11"/>
  <c r="T25" i="11"/>
  <c r="M62" i="11"/>
  <c r="P62" i="11" s="1"/>
  <c r="P64" i="11"/>
  <c r="R78" i="11"/>
  <c r="U78" i="11" s="1"/>
  <c r="U80" i="11"/>
  <c r="Q97" i="11"/>
  <c r="T97" i="11" s="1"/>
  <c r="T99" i="11"/>
  <c r="R119" i="11"/>
  <c r="M142" i="11"/>
  <c r="P142" i="11" s="1"/>
  <c r="P144" i="11"/>
  <c r="U175" i="11"/>
  <c r="R173" i="11"/>
  <c r="U173" i="11" s="1"/>
  <c r="M495" i="9"/>
  <c r="P495" i="9" s="1"/>
  <c r="I92" i="10"/>
  <c r="K92" i="10" s="1"/>
  <c r="Q97" i="10"/>
  <c r="T97" i="10" s="1"/>
  <c r="P144" i="10"/>
  <c r="R159" i="10"/>
  <c r="U159" i="10" s="1"/>
  <c r="N188" i="10"/>
  <c r="N186" i="10" s="1"/>
  <c r="O191" i="10"/>
  <c r="M561" i="10"/>
  <c r="P561" i="10" s="1"/>
  <c r="Q692" i="10"/>
  <c r="T692" i="10" s="1"/>
  <c r="T695" i="10"/>
  <c r="R26" i="11"/>
  <c r="N47" i="11"/>
  <c r="L47" i="11"/>
  <c r="O49" i="11"/>
  <c r="T60" i="11"/>
  <c r="Q59" i="11"/>
  <c r="T59" i="11" s="1"/>
  <c r="M74" i="11"/>
  <c r="Q94" i="11"/>
  <c r="T94" i="11" s="1"/>
  <c r="T96" i="11"/>
  <c r="L119" i="11"/>
  <c r="L123" i="11"/>
  <c r="O123" i="11" s="1"/>
  <c r="I136" i="11"/>
  <c r="K136" i="11" s="1"/>
  <c r="L145" i="11"/>
  <c r="O145" i="11" s="1"/>
  <c r="O147" i="11"/>
  <c r="R157" i="11"/>
  <c r="U157" i="11" s="1"/>
  <c r="U159" i="11"/>
  <c r="K183" i="11"/>
  <c r="I172" i="11"/>
  <c r="K172" i="11" s="1"/>
  <c r="K346" i="11"/>
  <c r="L359" i="11"/>
  <c r="O361" i="11"/>
  <c r="L358" i="11"/>
  <c r="I374" i="11"/>
  <c r="K388" i="11"/>
  <c r="R160" i="9"/>
  <c r="U160" i="9" s="1"/>
  <c r="L96" i="10"/>
  <c r="O96" i="10" s="1"/>
  <c r="R160" i="10"/>
  <c r="U160" i="10" s="1"/>
  <c r="M175" i="10"/>
  <c r="M173" i="10" s="1"/>
  <c r="R189" i="10"/>
  <c r="U189" i="10" s="1"/>
  <c r="R192" i="10"/>
  <c r="U192" i="10" s="1"/>
  <c r="M284" i="10"/>
  <c r="M282" i="10" s="1"/>
  <c r="P282" i="10" s="1"/>
  <c r="L415" i="10"/>
  <c r="O415" i="10" s="1"/>
  <c r="P416" i="10"/>
  <c r="L582" i="10"/>
  <c r="O582" i="10" s="1"/>
  <c r="Q601" i="10"/>
  <c r="T601" i="10" s="1"/>
  <c r="R692" i="10"/>
  <c r="R690" i="10" s="1"/>
  <c r="U690" i="10" s="1"/>
  <c r="Q762" i="10"/>
  <c r="Q760" i="10" s="1"/>
  <c r="L23" i="11"/>
  <c r="M47" i="11"/>
  <c r="P49" i="11"/>
  <c r="U60" i="11"/>
  <c r="R59" i="11"/>
  <c r="U59" i="11" s="1"/>
  <c r="R75" i="11"/>
  <c r="U75" i="11" s="1"/>
  <c r="U77" i="11"/>
  <c r="L78" i="11"/>
  <c r="O78" i="11" s="1"/>
  <c r="O80" i="11"/>
  <c r="M145" i="11"/>
  <c r="P145" i="11" s="1"/>
  <c r="P147" i="11"/>
  <c r="L159" i="11"/>
  <c r="L179" i="11"/>
  <c r="O179" i="11" s="1"/>
  <c r="O181" i="11"/>
  <c r="O267" i="11"/>
  <c r="N336" i="11"/>
  <c r="P336" i="11" s="1"/>
  <c r="P338" i="11"/>
  <c r="S188" i="1"/>
  <c r="P62" i="10"/>
  <c r="I156" i="10"/>
  <c r="K156" i="10" s="1"/>
  <c r="L214" i="10"/>
  <c r="O214" i="10" s="1"/>
  <c r="L305" i="10"/>
  <c r="O305" i="10" s="1"/>
  <c r="M415" i="10"/>
  <c r="M413" i="10" s="1"/>
  <c r="M495" i="10"/>
  <c r="P495" i="10" s="1"/>
  <c r="K780" i="10"/>
  <c r="M23" i="11"/>
  <c r="T45" i="11"/>
  <c r="Q44" i="11"/>
  <c r="T44" i="11" s="1"/>
  <c r="O60" i="11"/>
  <c r="T73" i="11"/>
  <c r="M78" i="11"/>
  <c r="P78" i="11" s="1"/>
  <c r="P80" i="11"/>
  <c r="L96" i="11"/>
  <c r="L100" i="11"/>
  <c r="O100" i="11" s="1"/>
  <c r="Q123" i="11"/>
  <c r="T123" i="11" s="1"/>
  <c r="T125" i="11"/>
  <c r="L141" i="11"/>
  <c r="R142" i="11"/>
  <c r="U142" i="11" s="1"/>
  <c r="U144" i="11"/>
  <c r="Q160" i="11"/>
  <c r="T160" i="11" s="1"/>
  <c r="T162" i="11"/>
  <c r="K169" i="11"/>
  <c r="L176" i="11"/>
  <c r="O176" i="11" s="1"/>
  <c r="O178" i="11"/>
  <c r="P267" i="11"/>
  <c r="N335" i="11"/>
  <c r="N333" i="11" s="1"/>
  <c r="S187" i="1"/>
  <c r="N495" i="10"/>
  <c r="N493" i="10" s="1"/>
  <c r="T22" i="11"/>
  <c r="Q23" i="11"/>
  <c r="L26" i="11"/>
  <c r="U45" i="11"/>
  <c r="R44" i="11"/>
  <c r="U44" i="11" s="1"/>
  <c r="L61" i="11"/>
  <c r="U73" i="11"/>
  <c r="R74" i="11"/>
  <c r="U74" i="11" s="1"/>
  <c r="L75" i="11"/>
  <c r="O75" i="11" s="1"/>
  <c r="O77" i="11"/>
  <c r="L97" i="11"/>
  <c r="O97" i="11" s="1"/>
  <c r="Q120" i="11"/>
  <c r="T120" i="11" s="1"/>
  <c r="T122" i="11"/>
  <c r="M141" i="11"/>
  <c r="R160" i="11"/>
  <c r="U160" i="11" s="1"/>
  <c r="U162" i="11"/>
  <c r="L163" i="11"/>
  <c r="O163" i="11" s="1"/>
  <c r="O165" i="11"/>
  <c r="M323" i="11"/>
  <c r="P323" i="11" s="1"/>
  <c r="P325" i="11"/>
  <c r="M322" i="11"/>
  <c r="P322" i="11" s="1"/>
  <c r="N26" i="11"/>
  <c r="N24" i="11" s="1"/>
  <c r="T144" i="11"/>
  <c r="T147" i="11"/>
  <c r="K220" i="11"/>
  <c r="I213" i="11"/>
  <c r="K213" i="11" s="1"/>
  <c r="N268" i="11"/>
  <c r="K371" i="11"/>
  <c r="P176" i="11"/>
  <c r="P187" i="11"/>
  <c r="P283" i="11"/>
  <c r="T321" i="11"/>
  <c r="Q320" i="11"/>
  <c r="T320" i="11" s="1"/>
  <c r="U334" i="11"/>
  <c r="R333" i="11"/>
  <c r="U333" i="11" s="1"/>
  <c r="S394" i="11"/>
  <c r="S392" i="11" s="1"/>
  <c r="S395" i="11"/>
  <c r="K505" i="11"/>
  <c r="J503" i="11"/>
  <c r="J492" i="11" s="1"/>
  <c r="O535" i="11"/>
  <c r="Q176" i="11"/>
  <c r="T176" i="11" s="1"/>
  <c r="T178" i="11"/>
  <c r="K260" i="11"/>
  <c r="I253" i="11"/>
  <c r="U267" i="11"/>
  <c r="L288" i="11"/>
  <c r="O288" i="11" s="1"/>
  <c r="O290" i="11"/>
  <c r="L284" i="11"/>
  <c r="O284" i="11" s="1"/>
  <c r="P304" i="11"/>
  <c r="O334" i="11"/>
  <c r="U376" i="11"/>
  <c r="M540" i="11"/>
  <c r="P540" i="11" s="1"/>
  <c r="P542" i="11"/>
  <c r="M536" i="11"/>
  <c r="R176" i="11"/>
  <c r="U176" i="11" s="1"/>
  <c r="U178" i="11"/>
  <c r="O338" i="11"/>
  <c r="O376" i="11"/>
  <c r="U494" i="11"/>
  <c r="Q605" i="11"/>
  <c r="T605" i="11" s="1"/>
  <c r="T607" i="11"/>
  <c r="Q601" i="11"/>
  <c r="L642" i="11"/>
  <c r="O642" i="11" s="1"/>
  <c r="O644" i="11"/>
  <c r="O494" i="11"/>
  <c r="O274" i="11"/>
  <c r="R282" i="11"/>
  <c r="U282" i="11" s="1"/>
  <c r="P287" i="11"/>
  <c r="P308" i="11"/>
  <c r="P311" i="11"/>
  <c r="M358" i="11"/>
  <c r="Q394" i="11"/>
  <c r="T394" i="11" s="1"/>
  <c r="T397" i="11"/>
  <c r="S416" i="11"/>
  <c r="R496" i="11"/>
  <c r="U496" i="11" s="1"/>
  <c r="S513" i="11"/>
  <c r="L516" i="11"/>
  <c r="O516" i="11" s="1"/>
  <c r="M558" i="11"/>
  <c r="P558" i="11" s="1"/>
  <c r="P560" i="11"/>
  <c r="Q602" i="11"/>
  <c r="T602" i="11" s="1"/>
  <c r="T604" i="11"/>
  <c r="T617" i="11"/>
  <c r="M642" i="11"/>
  <c r="P642" i="11" s="1"/>
  <c r="P644" i="11"/>
  <c r="L690" i="11"/>
  <c r="O690" i="11" s="1"/>
  <c r="O692" i="11"/>
  <c r="K707" i="11"/>
  <c r="U733" i="11"/>
  <c r="P271" i="11"/>
  <c r="P274" i="11"/>
  <c r="Q576" i="11"/>
  <c r="T576" i="11" s="1"/>
  <c r="T578" i="11"/>
  <c r="U617" i="11"/>
  <c r="R616" i="11"/>
  <c r="U616" i="11" s="1"/>
  <c r="T643" i="11"/>
  <c r="M690" i="11"/>
  <c r="P690" i="11" s="1"/>
  <c r="P692" i="11"/>
  <c r="J689" i="11"/>
  <c r="K457" i="11"/>
  <c r="L515" i="11"/>
  <c r="T556" i="11"/>
  <c r="Q555" i="11"/>
  <c r="T555" i="11" s="1"/>
  <c r="O617" i="11"/>
  <c r="L616" i="11"/>
  <c r="O616" i="11" s="1"/>
  <c r="T691" i="11"/>
  <c r="K705" i="11"/>
  <c r="I701" i="11"/>
  <c r="T733" i="11"/>
  <c r="R356" i="11"/>
  <c r="U356" i="11" s="1"/>
  <c r="L495" i="11"/>
  <c r="O495" i="11" s="1"/>
  <c r="R495" i="11"/>
  <c r="U495" i="11" s="1"/>
  <c r="P514" i="11"/>
  <c r="M515" i="11"/>
  <c r="P515" i="11" s="1"/>
  <c r="U556" i="11"/>
  <c r="R555" i="11"/>
  <c r="U555" i="11" s="1"/>
  <c r="M582" i="11"/>
  <c r="P582" i="11" s="1"/>
  <c r="P584" i="11"/>
  <c r="M578" i="11"/>
  <c r="U644" i="11"/>
  <c r="L760" i="11"/>
  <c r="O760" i="11" s="1"/>
  <c r="O762" i="11"/>
  <c r="M335" i="11"/>
  <c r="L540" i="11"/>
  <c r="O540" i="11" s="1"/>
  <c r="O542" i="11"/>
  <c r="L536" i="11"/>
  <c r="O536" i="11" s="1"/>
  <c r="O556" i="11"/>
  <c r="N582" i="11"/>
  <c r="N578" i="11"/>
  <c r="N576" i="11" s="1"/>
  <c r="M616" i="11"/>
  <c r="P616" i="11" s="1"/>
  <c r="P618" i="11"/>
  <c r="R690" i="11"/>
  <c r="U690" i="11" s="1"/>
  <c r="S731" i="11"/>
  <c r="O560" i="11"/>
  <c r="L578" i="11"/>
  <c r="O584" i="11"/>
  <c r="R730" i="11"/>
  <c r="N50" i="10"/>
  <c r="S159" i="10"/>
  <c r="S157" i="10" s="1"/>
  <c r="Q731" i="10"/>
  <c r="T733" i="10"/>
  <c r="M336" i="9"/>
  <c r="N61" i="10"/>
  <c r="N59" i="10" s="1"/>
  <c r="S75" i="10"/>
  <c r="M557" i="10"/>
  <c r="M558" i="10"/>
  <c r="P558" i="10" s="1"/>
  <c r="K632" i="10"/>
  <c r="K626" i="10"/>
  <c r="I615" i="10"/>
  <c r="K615" i="10" s="1"/>
  <c r="Q305" i="9"/>
  <c r="Q303" i="9" s="1"/>
  <c r="R602" i="9"/>
  <c r="U602" i="9" s="1"/>
  <c r="O49" i="10"/>
  <c r="O67" i="10"/>
  <c r="N74" i="10"/>
  <c r="N72" i="10" s="1"/>
  <c r="I82" i="10"/>
  <c r="I70" i="10" s="1"/>
  <c r="K70" i="10" s="1"/>
  <c r="I93" i="10"/>
  <c r="K93" i="10" s="1"/>
  <c r="L100" i="10"/>
  <c r="O100" i="10" s="1"/>
  <c r="P147" i="10"/>
  <c r="L175" i="10"/>
  <c r="L173" i="10" s="1"/>
  <c r="O173" i="10" s="1"/>
  <c r="L188" i="10"/>
  <c r="S188" i="10"/>
  <c r="S186" i="10" s="1"/>
  <c r="L236" i="10"/>
  <c r="Q269" i="10"/>
  <c r="T269" i="10" s="1"/>
  <c r="M323" i="10"/>
  <c r="P323" i="10" s="1"/>
  <c r="O338" i="10"/>
  <c r="K365" i="10"/>
  <c r="K369" i="10"/>
  <c r="S377" i="10"/>
  <c r="S375" i="10" s="1"/>
  <c r="P542" i="10"/>
  <c r="U607" i="10"/>
  <c r="R605" i="10"/>
  <c r="U605" i="10" s="1"/>
  <c r="Q730" i="10"/>
  <c r="Q728" i="10" s="1"/>
  <c r="S730" i="10"/>
  <c r="S728" i="10" s="1"/>
  <c r="S731" i="10"/>
  <c r="U731" i="10" s="1"/>
  <c r="S268" i="1"/>
  <c r="R762" i="1"/>
  <c r="U762" i="1" s="1"/>
  <c r="I137" i="7"/>
  <c r="K137" i="7" s="1"/>
  <c r="P271" i="8"/>
  <c r="Q377" i="9"/>
  <c r="T377" i="9" s="1"/>
  <c r="T380" i="9"/>
  <c r="O77" i="10"/>
  <c r="L97" i="10"/>
  <c r="O97" i="10" s="1"/>
  <c r="O99" i="10"/>
  <c r="M100" i="10"/>
  <c r="P100" i="10" s="1"/>
  <c r="U178" i="10"/>
  <c r="Q306" i="10"/>
  <c r="T306" i="10" s="1"/>
  <c r="T308" i="10"/>
  <c r="M336" i="10"/>
  <c r="P336" i="10" s="1"/>
  <c r="M335" i="10"/>
  <c r="M333" i="10" s="1"/>
  <c r="P338" i="10"/>
  <c r="I423" i="10"/>
  <c r="K423" i="10" s="1"/>
  <c r="U604" i="10"/>
  <c r="R602" i="10"/>
  <c r="U602" i="10" s="1"/>
  <c r="M416" i="7"/>
  <c r="P416" i="7" s="1"/>
  <c r="S97" i="10"/>
  <c r="L358" i="10"/>
  <c r="O361" i="10"/>
  <c r="L359" i="10"/>
  <c r="O359" i="10" s="1"/>
  <c r="P383" i="10"/>
  <c r="M381" i="10"/>
  <c r="P381" i="10" s="1"/>
  <c r="O581" i="10"/>
  <c r="L579" i="10"/>
  <c r="O579" i="10" s="1"/>
  <c r="M96" i="8"/>
  <c r="M94" i="8" s="1"/>
  <c r="M159" i="9"/>
  <c r="P159" i="9" s="1"/>
  <c r="L234" i="9"/>
  <c r="R23" i="10"/>
  <c r="R21" i="10" s="1"/>
  <c r="N175" i="10"/>
  <c r="N173" i="10" s="1"/>
  <c r="L179" i="10"/>
  <c r="O179" i="10" s="1"/>
  <c r="P189" i="10"/>
  <c r="M192" i="10"/>
  <c r="P192" i="10" s="1"/>
  <c r="I195" i="10"/>
  <c r="K195" i="10" s="1"/>
  <c r="U308" i="10"/>
  <c r="R306" i="10"/>
  <c r="U306" i="10" s="1"/>
  <c r="O336" i="10"/>
  <c r="M516" i="10"/>
  <c r="P516" i="10" s="1"/>
  <c r="P518" i="10"/>
  <c r="Q762" i="1"/>
  <c r="T762" i="1" s="1"/>
  <c r="P75" i="9"/>
  <c r="Q78" i="9"/>
  <c r="T78" i="9" s="1"/>
  <c r="I172" i="9"/>
  <c r="K172" i="9" s="1"/>
  <c r="K709" i="9"/>
  <c r="L141" i="10"/>
  <c r="L139" i="10" s="1"/>
  <c r="O139" i="10" s="1"/>
  <c r="U269" i="10"/>
  <c r="L362" i="10"/>
  <c r="O362" i="10" s="1"/>
  <c r="T380" i="10"/>
  <c r="Q378" i="10"/>
  <c r="T378" i="10" s="1"/>
  <c r="S495" i="10"/>
  <c r="S493" i="10" s="1"/>
  <c r="S496" i="10"/>
  <c r="R601" i="10"/>
  <c r="U601" i="10" s="1"/>
  <c r="K629" i="10"/>
  <c r="J702" i="10"/>
  <c r="I689" i="10"/>
  <c r="R763" i="10"/>
  <c r="L306" i="10"/>
  <c r="O306" i="10" s="1"/>
  <c r="P361" i="10"/>
  <c r="J374" i="10"/>
  <c r="L309" i="10"/>
  <c r="O309" i="10" s="1"/>
  <c r="P341" i="10"/>
  <c r="M358" i="10"/>
  <c r="M356" i="10" s="1"/>
  <c r="L23" i="9"/>
  <c r="L21" i="9" s="1"/>
  <c r="P99" i="9"/>
  <c r="Q142" i="9"/>
  <c r="Q141" i="9"/>
  <c r="Q139" i="9" s="1"/>
  <c r="O364" i="9"/>
  <c r="L362" i="9"/>
  <c r="O362" i="9" s="1"/>
  <c r="M23" i="10"/>
  <c r="P125" i="10"/>
  <c r="M123" i="10"/>
  <c r="P123" i="10" s="1"/>
  <c r="M119" i="10"/>
  <c r="P119" i="10" s="1"/>
  <c r="N377" i="10"/>
  <c r="N375" i="10" s="1"/>
  <c r="N395" i="1"/>
  <c r="M268" i="8"/>
  <c r="M266" i="8" s="1"/>
  <c r="I758" i="8"/>
  <c r="K758" i="8" s="1"/>
  <c r="T77" i="9"/>
  <c r="S123" i="9"/>
  <c r="T123" i="9" s="1"/>
  <c r="L145" i="9"/>
  <c r="O145" i="9" s="1"/>
  <c r="L141" i="9"/>
  <c r="L139" i="9" s="1"/>
  <c r="P359" i="10"/>
  <c r="S395" i="10"/>
  <c r="S394" i="10"/>
  <c r="S392" i="10" s="1"/>
  <c r="P584" i="10"/>
  <c r="M578" i="10"/>
  <c r="M582" i="10"/>
  <c r="P582" i="10" s="1"/>
  <c r="P607" i="10"/>
  <c r="M601" i="10"/>
  <c r="M605" i="10"/>
  <c r="P605" i="10" s="1"/>
  <c r="Q141" i="8"/>
  <c r="T141" i="8" s="1"/>
  <c r="L235" i="8"/>
  <c r="I280" i="8"/>
  <c r="K280" i="8" s="1"/>
  <c r="U178" i="9"/>
  <c r="R176" i="9"/>
  <c r="U176" i="9" s="1"/>
  <c r="O287" i="10"/>
  <c r="L285" i="10"/>
  <c r="O285" i="10" s="1"/>
  <c r="L284" i="10"/>
  <c r="N519" i="10"/>
  <c r="N515" i="10"/>
  <c r="N513" i="10" s="1"/>
  <c r="K778" i="10"/>
  <c r="P539" i="10"/>
  <c r="M536" i="10"/>
  <c r="T647" i="10"/>
  <c r="Q644" i="10"/>
  <c r="T644" i="10" s="1"/>
  <c r="Q645" i="10"/>
  <c r="T645" i="10" s="1"/>
  <c r="T147" i="8"/>
  <c r="L537" i="8"/>
  <c r="O537" i="8" s="1"/>
  <c r="S176" i="9"/>
  <c r="S175" i="9"/>
  <c r="S173" i="9" s="1"/>
  <c r="P162" i="10"/>
  <c r="M160" i="10"/>
  <c r="P160" i="10" s="1"/>
  <c r="M269" i="10"/>
  <c r="P269" i="10" s="1"/>
  <c r="P271" i="10"/>
  <c r="S305" i="10"/>
  <c r="S303" i="10" s="1"/>
  <c r="S306" i="10"/>
  <c r="L335" i="10"/>
  <c r="L333" i="10" s="1"/>
  <c r="O341" i="10"/>
  <c r="L339" i="10"/>
  <c r="O339" i="10" s="1"/>
  <c r="Q416" i="10"/>
  <c r="T416" i="10" s="1"/>
  <c r="Q415" i="10"/>
  <c r="T415" i="10" s="1"/>
  <c r="T418" i="10"/>
  <c r="K503" i="10"/>
  <c r="I492" i="10"/>
  <c r="K492" i="10" s="1"/>
  <c r="O518" i="10"/>
  <c r="L515" i="10"/>
  <c r="L516" i="10"/>
  <c r="O516" i="10" s="1"/>
  <c r="I138" i="10"/>
  <c r="K138" i="10" s="1"/>
  <c r="K153" i="10"/>
  <c r="M378" i="10"/>
  <c r="P378" i="10" s="1"/>
  <c r="M377" i="10"/>
  <c r="I238" i="8"/>
  <c r="K238" i="8" s="1"/>
  <c r="K781" i="8"/>
  <c r="L65" i="9"/>
  <c r="O65" i="9" s="1"/>
  <c r="M96" i="9"/>
  <c r="M94" i="9" s="1"/>
  <c r="O99" i="9"/>
  <c r="M100" i="9"/>
  <c r="P100" i="9" s="1"/>
  <c r="Q119" i="9"/>
  <c r="Q117" i="9" s="1"/>
  <c r="N163" i="9"/>
  <c r="N159" i="9"/>
  <c r="N157" i="9" s="1"/>
  <c r="R119" i="10"/>
  <c r="R117" i="10" s="1"/>
  <c r="R120" i="10"/>
  <c r="U120" i="10" s="1"/>
  <c r="S123" i="10"/>
  <c r="S119" i="10"/>
  <c r="S141" i="10"/>
  <c r="S139" i="10" s="1"/>
  <c r="O165" i="10"/>
  <c r="L163" i="10"/>
  <c r="O163" i="10" s="1"/>
  <c r="S602" i="10"/>
  <c r="S601" i="10"/>
  <c r="S599" i="10" s="1"/>
  <c r="J701" i="10"/>
  <c r="I759" i="10"/>
  <c r="K759" i="10" s="1"/>
  <c r="K774" i="10"/>
  <c r="S141" i="9"/>
  <c r="L179" i="9"/>
  <c r="O179" i="9" s="1"/>
  <c r="N188" i="9"/>
  <c r="N186" i="9" s="1"/>
  <c r="N65" i="10"/>
  <c r="P65" i="10" s="1"/>
  <c r="P67" i="10"/>
  <c r="M75" i="10"/>
  <c r="P75" i="10" s="1"/>
  <c r="L119" i="10"/>
  <c r="U122" i="10"/>
  <c r="T147" i="10"/>
  <c r="T162" i="10"/>
  <c r="M176" i="10"/>
  <c r="P176" i="10" s="1"/>
  <c r="L235" i="10"/>
  <c r="U397" i="10"/>
  <c r="L536" i="10"/>
  <c r="L534" i="10" s="1"/>
  <c r="O534" i="10" s="1"/>
  <c r="O604" i="10"/>
  <c r="L605" i="10"/>
  <c r="O605" i="10" s="1"/>
  <c r="L358" i="9"/>
  <c r="L356" i="9" s="1"/>
  <c r="O418" i="9"/>
  <c r="N26" i="10"/>
  <c r="N75" i="10"/>
  <c r="Q96" i="10"/>
  <c r="L123" i="10"/>
  <c r="O123" i="10" s="1"/>
  <c r="L159" i="10"/>
  <c r="O159" i="10" s="1"/>
  <c r="L160" i="10"/>
  <c r="O160" i="10" s="1"/>
  <c r="R188" i="10"/>
  <c r="N335" i="10"/>
  <c r="N333" i="10" s="1"/>
  <c r="R394" i="10"/>
  <c r="U394" i="10" s="1"/>
  <c r="L561" i="10"/>
  <c r="O561" i="10" s="1"/>
  <c r="L601" i="10"/>
  <c r="L602" i="10"/>
  <c r="O602" i="10" s="1"/>
  <c r="P604" i="10"/>
  <c r="T765" i="10"/>
  <c r="L189" i="10"/>
  <c r="O189" i="10" s="1"/>
  <c r="S268" i="10"/>
  <c r="S266" i="10" s="1"/>
  <c r="T271" i="10"/>
  <c r="R305" i="10"/>
  <c r="U305" i="10" s="1"/>
  <c r="P602" i="10"/>
  <c r="U145" i="9"/>
  <c r="I202" i="9"/>
  <c r="K202" i="9" s="1"/>
  <c r="Q268" i="9"/>
  <c r="L499" i="9"/>
  <c r="O499" i="9" s="1"/>
  <c r="S730" i="9"/>
  <c r="S728" i="9" s="1"/>
  <c r="K778" i="9"/>
  <c r="K781" i="9"/>
  <c r="M96" i="10"/>
  <c r="M94" i="10" s="1"/>
  <c r="P94" i="10" s="1"/>
  <c r="Q119" i="10"/>
  <c r="Q117" i="10" s="1"/>
  <c r="L203" i="10"/>
  <c r="O203" i="10" s="1"/>
  <c r="L233" i="10"/>
  <c r="U271" i="10"/>
  <c r="J351" i="10"/>
  <c r="L419" i="10"/>
  <c r="O419" i="10" s="1"/>
  <c r="L578" i="10"/>
  <c r="M579" i="10"/>
  <c r="P579" i="10" s="1"/>
  <c r="N601" i="10"/>
  <c r="N599" i="10" s="1"/>
  <c r="R618" i="10"/>
  <c r="U618" i="10" s="1"/>
  <c r="R619" i="10"/>
  <c r="U695" i="10"/>
  <c r="J689" i="10"/>
  <c r="N335" i="9"/>
  <c r="N333" i="9" s="1"/>
  <c r="K346" i="9"/>
  <c r="L222" i="10"/>
  <c r="O222" i="10" s="1"/>
  <c r="L254" i="10"/>
  <c r="O254" i="10" s="1"/>
  <c r="J343" i="10"/>
  <c r="K386" i="10"/>
  <c r="P62" i="9"/>
  <c r="U189" i="9"/>
  <c r="T25" i="10"/>
  <c r="O64" i="10"/>
  <c r="L61" i="10"/>
  <c r="Q176" i="10"/>
  <c r="T176" i="10" s="1"/>
  <c r="T178" i="10"/>
  <c r="Q189" i="10"/>
  <c r="T189" i="10" s="1"/>
  <c r="T191" i="10"/>
  <c r="U304" i="10"/>
  <c r="M222" i="1"/>
  <c r="I82" i="8"/>
  <c r="K82" i="8" s="1"/>
  <c r="M495" i="8"/>
  <c r="P495" i="8" s="1"/>
  <c r="N175" i="9"/>
  <c r="N173" i="9" s="1"/>
  <c r="K330" i="9"/>
  <c r="L496" i="9"/>
  <c r="O496" i="9" s="1"/>
  <c r="I615" i="9"/>
  <c r="K615" i="9" s="1"/>
  <c r="T22" i="10"/>
  <c r="Q26" i="10"/>
  <c r="T26" i="10" s="1"/>
  <c r="P64" i="10"/>
  <c r="M61" i="10"/>
  <c r="M59" i="10" s="1"/>
  <c r="M78" i="10"/>
  <c r="P78" i="10" s="1"/>
  <c r="T122" i="10"/>
  <c r="Q123" i="10"/>
  <c r="T123" i="10" s="1"/>
  <c r="U140" i="10"/>
  <c r="M159" i="10"/>
  <c r="M163" i="10"/>
  <c r="P163" i="10" s="1"/>
  <c r="O304" i="10"/>
  <c r="P321" i="10"/>
  <c r="N96" i="6"/>
  <c r="N94" i="6" s="1"/>
  <c r="I92" i="7"/>
  <c r="K92" i="7" s="1"/>
  <c r="N74" i="8"/>
  <c r="N72" i="8" s="1"/>
  <c r="Q601" i="8"/>
  <c r="T601" i="8" s="1"/>
  <c r="I138" i="9"/>
  <c r="K138" i="9" s="1"/>
  <c r="U147" i="9"/>
  <c r="S188" i="9"/>
  <c r="S186" i="9" s="1"/>
  <c r="K198" i="9"/>
  <c r="K229" i="9"/>
  <c r="S268" i="9"/>
  <c r="S266" i="9" s="1"/>
  <c r="S377" i="9"/>
  <c r="S375" i="9" s="1"/>
  <c r="I492" i="9"/>
  <c r="K492" i="9" s="1"/>
  <c r="J675" i="9"/>
  <c r="Q19" i="10"/>
  <c r="Q23" i="10"/>
  <c r="R26" i="10"/>
  <c r="U26" i="10" s="1"/>
  <c r="T80" i="10"/>
  <c r="Q78" i="10"/>
  <c r="T78" i="10" s="1"/>
  <c r="I83" i="10"/>
  <c r="K88" i="10"/>
  <c r="M120" i="10"/>
  <c r="P120" i="10" s="1"/>
  <c r="N120" i="10"/>
  <c r="N119" i="10"/>
  <c r="N117" i="10" s="1"/>
  <c r="I137" i="10"/>
  <c r="K137" i="10" s="1"/>
  <c r="N159" i="10"/>
  <c r="N157" i="10" s="1"/>
  <c r="K314" i="10"/>
  <c r="I302" i="10"/>
  <c r="K302" i="10" s="1"/>
  <c r="S556" i="1"/>
  <c r="L236" i="7"/>
  <c r="K779" i="7"/>
  <c r="R75" i="8"/>
  <c r="U75" i="8" s="1"/>
  <c r="O338" i="8"/>
  <c r="R601" i="8"/>
  <c r="U601" i="8" s="1"/>
  <c r="K109" i="9"/>
  <c r="M119" i="9"/>
  <c r="P119" i="9" s="1"/>
  <c r="R159" i="9"/>
  <c r="U159" i="9" s="1"/>
  <c r="M322" i="9"/>
  <c r="M320" i="9" s="1"/>
  <c r="P320" i="9" s="1"/>
  <c r="L326" i="9"/>
  <c r="O326" i="9" s="1"/>
  <c r="J351" i="9"/>
  <c r="N536" i="9"/>
  <c r="N534" i="9" s="1"/>
  <c r="P563" i="9"/>
  <c r="O607" i="9"/>
  <c r="R619" i="9"/>
  <c r="U619" i="9" s="1"/>
  <c r="S645" i="9"/>
  <c r="K780" i="9"/>
  <c r="L19" i="10"/>
  <c r="R19" i="10"/>
  <c r="U25" i="10"/>
  <c r="Q44" i="10"/>
  <c r="T44" i="10" s="1"/>
  <c r="P73" i="10"/>
  <c r="T73" i="10"/>
  <c r="T77" i="10"/>
  <c r="Q74" i="10"/>
  <c r="T74" i="10" s="1"/>
  <c r="S94" i="10"/>
  <c r="M97" i="10"/>
  <c r="P97" i="10" s="1"/>
  <c r="T125" i="10"/>
  <c r="R141" i="10"/>
  <c r="U141" i="10" s="1"/>
  <c r="L145" i="10"/>
  <c r="O145" i="10" s="1"/>
  <c r="O147" i="10"/>
  <c r="U147" i="10"/>
  <c r="T158" i="10"/>
  <c r="Q188" i="10"/>
  <c r="T188" i="10" s="1"/>
  <c r="O271" i="10"/>
  <c r="L269" i="10"/>
  <c r="O269" i="10" s="1"/>
  <c r="O49" i="6"/>
  <c r="L415" i="8"/>
  <c r="L413" i="8" s="1"/>
  <c r="L46" i="9"/>
  <c r="L44" i="9" s="1"/>
  <c r="L123" i="9"/>
  <c r="O123" i="9" s="1"/>
  <c r="K195" i="9"/>
  <c r="T269" i="9"/>
  <c r="I302" i="9"/>
  <c r="K302" i="9" s="1"/>
  <c r="M326" i="9"/>
  <c r="P326" i="9" s="1"/>
  <c r="Q26" i="9"/>
  <c r="Q24" i="9" s="1"/>
  <c r="R618" i="9"/>
  <c r="U618" i="9" s="1"/>
  <c r="S619" i="9"/>
  <c r="J702" i="9"/>
  <c r="U22" i="10"/>
  <c r="S23" i="10"/>
  <c r="O25" i="10"/>
  <c r="L26" i="10"/>
  <c r="L24" i="10" s="1"/>
  <c r="R44" i="10"/>
  <c r="U44" i="10" s="1"/>
  <c r="P60" i="10"/>
  <c r="U77" i="10"/>
  <c r="R74" i="10"/>
  <c r="S26" i="10"/>
  <c r="S24" i="10" s="1"/>
  <c r="O95" i="10"/>
  <c r="P99" i="10"/>
  <c r="P118" i="10"/>
  <c r="T120" i="10"/>
  <c r="P165" i="10"/>
  <c r="Q173" i="10"/>
  <c r="T173" i="10" s="1"/>
  <c r="T174" i="10"/>
  <c r="S189" i="10"/>
  <c r="Q192" i="10"/>
  <c r="T192" i="10" s="1"/>
  <c r="T194" i="10"/>
  <c r="K209" i="10"/>
  <c r="I202" i="10"/>
  <c r="K202" i="10" s="1"/>
  <c r="R268" i="10"/>
  <c r="Q282" i="10"/>
  <c r="T282" i="10" s="1"/>
  <c r="T283" i="10"/>
  <c r="P290" i="10"/>
  <c r="M288" i="10"/>
  <c r="P288" i="10" s="1"/>
  <c r="L326" i="10"/>
  <c r="O326" i="10" s="1"/>
  <c r="O328" i="10"/>
  <c r="Q333" i="10"/>
  <c r="T333" i="10" s="1"/>
  <c r="T334" i="10"/>
  <c r="K369" i="5"/>
  <c r="P64" i="7"/>
  <c r="L188" i="8"/>
  <c r="L186" i="8" s="1"/>
  <c r="O62" i="9"/>
  <c r="Q74" i="9"/>
  <c r="Q72" i="9" s="1"/>
  <c r="Q120" i="9"/>
  <c r="M160" i="9"/>
  <c r="P160" i="9" s="1"/>
  <c r="M176" i="9"/>
  <c r="P176" i="9" s="1"/>
  <c r="T178" i="9"/>
  <c r="O194" i="9"/>
  <c r="N358" i="9"/>
  <c r="N356" i="9" s="1"/>
  <c r="L415" i="9"/>
  <c r="L413" i="9" s="1"/>
  <c r="L495" i="9"/>
  <c r="O495" i="9" s="1"/>
  <c r="R601" i="9"/>
  <c r="U601" i="9" s="1"/>
  <c r="J689" i="9"/>
  <c r="K784" i="9"/>
  <c r="O22" i="10"/>
  <c r="L23" i="10"/>
  <c r="M26" i="10"/>
  <c r="L46" i="10"/>
  <c r="P49" i="10"/>
  <c r="M46" i="10"/>
  <c r="L62" i="10"/>
  <c r="O62" i="10" s="1"/>
  <c r="M74" i="10"/>
  <c r="P74" i="10" s="1"/>
  <c r="L75" i="10"/>
  <c r="O75" i="10" s="1"/>
  <c r="U80" i="10"/>
  <c r="U95" i="10"/>
  <c r="T144" i="10"/>
  <c r="Q141" i="10"/>
  <c r="I172" i="10"/>
  <c r="K172" i="10" s="1"/>
  <c r="M179" i="10"/>
  <c r="P179" i="10" s="1"/>
  <c r="L243" i="10"/>
  <c r="I281" i="10"/>
  <c r="K281" i="10" s="1"/>
  <c r="L323" i="10"/>
  <c r="O323" i="10" s="1"/>
  <c r="L322" i="10"/>
  <c r="O322" i="10" s="1"/>
  <c r="O325" i="10"/>
  <c r="K249" i="10"/>
  <c r="I242" i="10"/>
  <c r="T267" i="10"/>
  <c r="Q266" i="10"/>
  <c r="P308" i="10"/>
  <c r="M306" i="10"/>
  <c r="P306" i="10" s="1"/>
  <c r="P311" i="10"/>
  <c r="M309" i="10"/>
  <c r="P309" i="10" s="1"/>
  <c r="N322" i="10"/>
  <c r="N320" i="10" s="1"/>
  <c r="N326" i="10"/>
  <c r="J332" i="10"/>
  <c r="K332" i="10" s="1"/>
  <c r="U393" i="10"/>
  <c r="M188" i="10"/>
  <c r="K154" i="10"/>
  <c r="I136" i="10"/>
  <c r="K136" i="10" s="1"/>
  <c r="P191" i="10"/>
  <c r="N285" i="10"/>
  <c r="N284" i="10"/>
  <c r="N282" i="10" s="1"/>
  <c r="O357" i="10"/>
  <c r="I265" i="10"/>
  <c r="K265" i="10" s="1"/>
  <c r="T304" i="10"/>
  <c r="Q303" i="10"/>
  <c r="T303" i="10" s="1"/>
  <c r="N305" i="10"/>
  <c r="N303" i="10" s="1"/>
  <c r="K705" i="10"/>
  <c r="I701" i="10"/>
  <c r="R320" i="10"/>
  <c r="U320" i="10" s="1"/>
  <c r="R375" i="10"/>
  <c r="L381" i="10"/>
  <c r="O381" i="10" s="1"/>
  <c r="O383" i="10"/>
  <c r="R496" i="10"/>
  <c r="U496" i="10" s="1"/>
  <c r="U498" i="10"/>
  <c r="R495" i="10"/>
  <c r="U495" i="10" s="1"/>
  <c r="M362" i="10"/>
  <c r="P362" i="10" s="1"/>
  <c r="P364" i="10"/>
  <c r="N415" i="10"/>
  <c r="N413" i="10" s="1"/>
  <c r="N540" i="10"/>
  <c r="N536" i="10"/>
  <c r="N534" i="10" s="1"/>
  <c r="Q605" i="10"/>
  <c r="T605" i="10" s="1"/>
  <c r="T607" i="10"/>
  <c r="M690" i="10"/>
  <c r="P690" i="10" s="1"/>
  <c r="P692" i="10"/>
  <c r="R378" i="10"/>
  <c r="U378" i="10" s="1"/>
  <c r="U380" i="10"/>
  <c r="O393" i="10"/>
  <c r="L392" i="10"/>
  <c r="O392" i="10" s="1"/>
  <c r="P418" i="10"/>
  <c r="L496" i="10"/>
  <c r="O496" i="10" s="1"/>
  <c r="O498" i="10"/>
  <c r="M519" i="10"/>
  <c r="P519" i="10" s="1"/>
  <c r="P521" i="10"/>
  <c r="M515" i="10"/>
  <c r="N557" i="10"/>
  <c r="N555" i="10" s="1"/>
  <c r="Q602" i="10"/>
  <c r="T602" i="10" s="1"/>
  <c r="T604" i="10"/>
  <c r="T691" i="10"/>
  <c r="U414" i="10"/>
  <c r="L499" i="10"/>
  <c r="O499" i="10" s="1"/>
  <c r="O501" i="10"/>
  <c r="U617" i="10"/>
  <c r="Q714" i="10"/>
  <c r="T714" i="10" s="1"/>
  <c r="T716" i="10"/>
  <c r="M322" i="10"/>
  <c r="P322" i="10" s="1"/>
  <c r="L378" i="10"/>
  <c r="O378" i="10" s="1"/>
  <c r="O380" i="10"/>
  <c r="N392" i="10"/>
  <c r="O414" i="10"/>
  <c r="U556" i="10"/>
  <c r="R555" i="10"/>
  <c r="U555" i="10" s="1"/>
  <c r="Q576" i="10"/>
  <c r="T576" i="10" s="1"/>
  <c r="T578" i="10"/>
  <c r="O617" i="10"/>
  <c r="L616" i="10"/>
  <c r="O616" i="10" s="1"/>
  <c r="T643" i="10"/>
  <c r="K707" i="10"/>
  <c r="T397" i="10"/>
  <c r="Q394" i="10"/>
  <c r="Q395" i="10"/>
  <c r="T395" i="10" s="1"/>
  <c r="L495" i="10"/>
  <c r="O495" i="10" s="1"/>
  <c r="J503" i="10"/>
  <c r="J492" i="10" s="1"/>
  <c r="K505" i="10"/>
  <c r="O556" i="10"/>
  <c r="N582" i="10"/>
  <c r="N578" i="10"/>
  <c r="N576" i="10" s="1"/>
  <c r="T621" i="10"/>
  <c r="Q618" i="10"/>
  <c r="Q619" i="10"/>
  <c r="K726" i="10"/>
  <c r="L760" i="10"/>
  <c r="O760" i="10" s="1"/>
  <c r="O762" i="10"/>
  <c r="O418" i="10"/>
  <c r="U418" i="10"/>
  <c r="K630" i="10"/>
  <c r="R730" i="10"/>
  <c r="U733" i="10"/>
  <c r="S762" i="10"/>
  <c r="S760" i="10" s="1"/>
  <c r="K631" i="10"/>
  <c r="Q375" i="10"/>
  <c r="M392" i="10"/>
  <c r="P392" i="10" s="1"/>
  <c r="K457" i="10"/>
  <c r="Q493" i="10"/>
  <c r="T493" i="10" s="1"/>
  <c r="L642" i="10"/>
  <c r="O642" i="10" s="1"/>
  <c r="P380" i="10"/>
  <c r="P498" i="10"/>
  <c r="Q534" i="10"/>
  <c r="T534" i="10" s="1"/>
  <c r="U536" i="10"/>
  <c r="O539" i="10"/>
  <c r="M642" i="10"/>
  <c r="P642" i="10" s="1"/>
  <c r="S763" i="10"/>
  <c r="T763" i="10" s="1"/>
  <c r="Q214" i="1"/>
  <c r="I265" i="6"/>
  <c r="K265" i="6" s="1"/>
  <c r="K369" i="6"/>
  <c r="P181" i="9"/>
  <c r="M175" i="9"/>
  <c r="P175" i="9" s="1"/>
  <c r="M179" i="9"/>
  <c r="P179" i="9" s="1"/>
  <c r="O290" i="9"/>
  <c r="L288" i="9"/>
  <c r="O288" i="9" s="1"/>
  <c r="N378" i="9"/>
  <c r="N377" i="9"/>
  <c r="N375" i="9" s="1"/>
  <c r="O52" i="9"/>
  <c r="L50" i="9"/>
  <c r="O50" i="9" s="1"/>
  <c r="I253" i="9"/>
  <c r="K253" i="9" s="1"/>
  <c r="K260" i="9"/>
  <c r="O162" i="9"/>
  <c r="L160" i="9"/>
  <c r="O160" i="9" s="1"/>
  <c r="S496" i="9"/>
  <c r="S495" i="9"/>
  <c r="S493" i="9" s="1"/>
  <c r="S601" i="9"/>
  <c r="S599" i="9" s="1"/>
  <c r="S602" i="9"/>
  <c r="P67" i="9"/>
  <c r="M26" i="9"/>
  <c r="Q763" i="7"/>
  <c r="T763" i="7" s="1"/>
  <c r="Q762" i="7"/>
  <c r="Q760" i="7" s="1"/>
  <c r="K440" i="8"/>
  <c r="I423" i="8"/>
  <c r="I412" i="8" s="1"/>
  <c r="K412" i="8" s="1"/>
  <c r="S96" i="9"/>
  <c r="S94" i="9" s="1"/>
  <c r="S23" i="9"/>
  <c r="S21" i="9" s="1"/>
  <c r="R192" i="9"/>
  <c r="U192" i="9" s="1"/>
  <c r="U194" i="9"/>
  <c r="L305" i="9"/>
  <c r="L303" i="9" s="1"/>
  <c r="O308" i="9"/>
  <c r="L602" i="9"/>
  <c r="O602" i="9" s="1"/>
  <c r="O604" i="9"/>
  <c r="L189" i="7"/>
  <c r="S415" i="7"/>
  <c r="S413" i="7" s="1"/>
  <c r="Q395" i="8"/>
  <c r="T395" i="8" s="1"/>
  <c r="Q394" i="8"/>
  <c r="T394" i="8" s="1"/>
  <c r="L189" i="9"/>
  <c r="O189" i="9" s="1"/>
  <c r="L188" i="9"/>
  <c r="M269" i="9"/>
  <c r="M268" i="9"/>
  <c r="M266" i="9" s="1"/>
  <c r="M23" i="9"/>
  <c r="M21" i="9" s="1"/>
  <c r="L306" i="9"/>
  <c r="N123" i="1"/>
  <c r="N142" i="9"/>
  <c r="O142" i="9" s="1"/>
  <c r="N141" i="9"/>
  <c r="N139" i="9" s="1"/>
  <c r="S377" i="8"/>
  <c r="S375" i="8" s="1"/>
  <c r="S378" i="8"/>
  <c r="T378" i="8" s="1"/>
  <c r="R75" i="9"/>
  <c r="U75" i="9" s="1"/>
  <c r="R74" i="9"/>
  <c r="R72" i="9" s="1"/>
  <c r="U80" i="9"/>
  <c r="R26" i="9"/>
  <c r="R24" i="9" s="1"/>
  <c r="S119" i="9"/>
  <c r="S117" i="9" s="1"/>
  <c r="S120" i="9"/>
  <c r="U175" i="9"/>
  <c r="R173" i="9"/>
  <c r="U173" i="9" s="1"/>
  <c r="T765" i="9"/>
  <c r="Q763" i="9"/>
  <c r="T763" i="9" s="1"/>
  <c r="R644" i="7"/>
  <c r="R642" i="7" s="1"/>
  <c r="U642" i="7" s="1"/>
  <c r="N61" i="9"/>
  <c r="N59" i="9" s="1"/>
  <c r="P97" i="9"/>
  <c r="R306" i="9"/>
  <c r="P311" i="9"/>
  <c r="K369" i="9"/>
  <c r="M605" i="9"/>
  <c r="P605" i="9" s="1"/>
  <c r="K629" i="9"/>
  <c r="M123" i="9"/>
  <c r="P123" i="9" s="1"/>
  <c r="U125" i="9"/>
  <c r="T145" i="9"/>
  <c r="N305" i="9"/>
  <c r="N303" i="9" s="1"/>
  <c r="L359" i="9"/>
  <c r="O359" i="9" s="1"/>
  <c r="O521" i="9"/>
  <c r="M557" i="9"/>
  <c r="P557" i="9" s="1"/>
  <c r="K632" i="9"/>
  <c r="L176" i="9"/>
  <c r="O176" i="9" s="1"/>
  <c r="L284" i="9"/>
  <c r="O284" i="9" s="1"/>
  <c r="N416" i="9"/>
  <c r="O416" i="9" s="1"/>
  <c r="K727" i="9"/>
  <c r="L284" i="8"/>
  <c r="O284" i="8" s="1"/>
  <c r="N46" i="9"/>
  <c r="N44" i="9" s="1"/>
  <c r="T122" i="9"/>
  <c r="L203" i="9"/>
  <c r="O203" i="9" s="1"/>
  <c r="O581" i="9"/>
  <c r="K778" i="7"/>
  <c r="N495" i="8"/>
  <c r="N493" i="8" s="1"/>
  <c r="U122" i="9"/>
  <c r="P144" i="9"/>
  <c r="L222" i="9"/>
  <c r="O222" i="9" s="1"/>
  <c r="T271" i="9"/>
  <c r="P274" i="9"/>
  <c r="K368" i="9"/>
  <c r="K365" i="9"/>
  <c r="K774" i="9"/>
  <c r="O49" i="9"/>
  <c r="M163" i="9"/>
  <c r="P163" i="9" s="1"/>
  <c r="L214" i="9"/>
  <c r="O214" i="9" s="1"/>
  <c r="K220" i="9"/>
  <c r="L323" i="9"/>
  <c r="O323" i="9" s="1"/>
  <c r="U695" i="9"/>
  <c r="R693" i="9"/>
  <c r="M335" i="5"/>
  <c r="M333" i="5" s="1"/>
  <c r="O77" i="8"/>
  <c r="R96" i="8"/>
  <c r="R94" i="8" s="1"/>
  <c r="O75" i="9"/>
  <c r="P191" i="9"/>
  <c r="U191" i="9"/>
  <c r="P287" i="9"/>
  <c r="N306" i="9"/>
  <c r="M323" i="9"/>
  <c r="P323" i="9" s="1"/>
  <c r="M339" i="9"/>
  <c r="P339" i="9" s="1"/>
  <c r="P361" i="9"/>
  <c r="M381" i="9"/>
  <c r="P381" i="9" s="1"/>
  <c r="T695" i="9"/>
  <c r="S692" i="9"/>
  <c r="S690" i="9" s="1"/>
  <c r="T122" i="7"/>
  <c r="P77" i="8"/>
  <c r="N336" i="8"/>
  <c r="P336" i="8" s="1"/>
  <c r="J351" i="8"/>
  <c r="M358" i="8"/>
  <c r="M356" i="8" s="1"/>
  <c r="L61" i="9"/>
  <c r="O64" i="9"/>
  <c r="K221" i="9"/>
  <c r="L236" i="9"/>
  <c r="M305" i="9"/>
  <c r="O341" i="9"/>
  <c r="K371" i="9"/>
  <c r="O380" i="9"/>
  <c r="U397" i="9"/>
  <c r="N515" i="9"/>
  <c r="N513" i="9" s="1"/>
  <c r="M536" i="9"/>
  <c r="L537" i="9"/>
  <c r="O537" i="9" s="1"/>
  <c r="P542" i="9"/>
  <c r="L579" i="9"/>
  <c r="O579" i="9" s="1"/>
  <c r="L582" i="9"/>
  <c r="O582" i="9" s="1"/>
  <c r="T647" i="9"/>
  <c r="Q645" i="9"/>
  <c r="T645" i="9" s="1"/>
  <c r="Q644" i="9"/>
  <c r="T644" i="9" s="1"/>
  <c r="Q731" i="9"/>
  <c r="T731" i="9" s="1"/>
  <c r="T733" i="9"/>
  <c r="I253" i="8"/>
  <c r="K253" i="8" s="1"/>
  <c r="M557" i="8"/>
  <c r="P557" i="8" s="1"/>
  <c r="O47" i="9"/>
  <c r="I82" i="9"/>
  <c r="K82" i="9" s="1"/>
  <c r="N119" i="9"/>
  <c r="N117" i="9" s="1"/>
  <c r="M120" i="9"/>
  <c r="P120" i="9" s="1"/>
  <c r="K127" i="9"/>
  <c r="S142" i="9"/>
  <c r="M145" i="9"/>
  <c r="P145" i="9" s="1"/>
  <c r="K169" i="9"/>
  <c r="O191" i="9"/>
  <c r="Q192" i="9"/>
  <c r="T192" i="9" s="1"/>
  <c r="M284" i="9"/>
  <c r="P284" i="9" s="1"/>
  <c r="M378" i="9"/>
  <c r="P378" i="9" s="1"/>
  <c r="R394" i="9"/>
  <c r="U394" i="9" s="1"/>
  <c r="Q416" i="9"/>
  <c r="R496" i="9"/>
  <c r="U496" i="9" s="1"/>
  <c r="M516" i="9"/>
  <c r="P516" i="9" s="1"/>
  <c r="M537" i="9"/>
  <c r="P537" i="9" s="1"/>
  <c r="L561" i="9"/>
  <c r="O561" i="9" s="1"/>
  <c r="M579" i="9"/>
  <c r="P579" i="9" s="1"/>
  <c r="P47" i="9"/>
  <c r="Q75" i="9"/>
  <c r="T75" i="9" s="1"/>
  <c r="P80" i="9"/>
  <c r="O147" i="9"/>
  <c r="T162" i="9"/>
  <c r="R188" i="9"/>
  <c r="R186" i="9" s="1"/>
  <c r="O361" i="9"/>
  <c r="S394" i="9"/>
  <c r="S392" i="9" s="1"/>
  <c r="L419" i="9"/>
  <c r="O419" i="9" s="1"/>
  <c r="J503" i="9"/>
  <c r="J492" i="9" s="1"/>
  <c r="L601" i="9"/>
  <c r="O601" i="9" s="1"/>
  <c r="I689" i="9"/>
  <c r="R763" i="9"/>
  <c r="U763" i="9" s="1"/>
  <c r="U765" i="9"/>
  <c r="T120" i="8"/>
  <c r="K784" i="8"/>
  <c r="N26" i="9"/>
  <c r="N24" i="9" s="1"/>
  <c r="O144" i="9"/>
  <c r="T147" i="9"/>
  <c r="L243" i="9"/>
  <c r="O243" i="9" s="1"/>
  <c r="L268" i="9"/>
  <c r="O268" i="9" s="1"/>
  <c r="L322" i="9"/>
  <c r="M377" i="9"/>
  <c r="P377" i="9" s="1"/>
  <c r="R495" i="9"/>
  <c r="U495" i="9" s="1"/>
  <c r="L557" i="9"/>
  <c r="O557" i="9" s="1"/>
  <c r="L558" i="9"/>
  <c r="O558" i="9" s="1"/>
  <c r="P581" i="9"/>
  <c r="M601" i="9"/>
  <c r="P601" i="9" s="1"/>
  <c r="M602" i="9"/>
  <c r="P602" i="9" s="1"/>
  <c r="K631" i="9"/>
  <c r="R645" i="9"/>
  <c r="U645" i="9" s="1"/>
  <c r="Q692" i="9"/>
  <c r="Q690" i="9" s="1"/>
  <c r="U731" i="9"/>
  <c r="J674" i="9"/>
  <c r="P19" i="9"/>
  <c r="U267" i="9"/>
  <c r="L23" i="8"/>
  <c r="L21" i="8" s="1"/>
  <c r="M74" i="8"/>
  <c r="P74" i="8" s="1"/>
  <c r="L96" i="8"/>
  <c r="L94" i="8" s="1"/>
  <c r="U120" i="8"/>
  <c r="I156" i="8"/>
  <c r="K156" i="8" s="1"/>
  <c r="K276" i="8"/>
  <c r="K778" i="8"/>
  <c r="N23" i="9"/>
  <c r="L26" i="9"/>
  <c r="O26" i="9" s="1"/>
  <c r="S26" i="9"/>
  <c r="R44" i="9"/>
  <c r="U44" i="9" s="1"/>
  <c r="M46" i="9"/>
  <c r="M50" i="9"/>
  <c r="P50" i="9" s="1"/>
  <c r="R59" i="9"/>
  <c r="U59" i="9" s="1"/>
  <c r="M61" i="9"/>
  <c r="M59" i="9" s="1"/>
  <c r="M65" i="9"/>
  <c r="P65" i="9" s="1"/>
  <c r="M74" i="9"/>
  <c r="M72" i="9" s="1"/>
  <c r="S74" i="9"/>
  <c r="O77" i="9"/>
  <c r="U77" i="9"/>
  <c r="R78" i="9"/>
  <c r="U78" i="9" s="1"/>
  <c r="N96" i="9"/>
  <c r="N94" i="9" s="1"/>
  <c r="L97" i="9"/>
  <c r="O97" i="9" s="1"/>
  <c r="S97" i="9"/>
  <c r="T97" i="9" s="1"/>
  <c r="U99" i="9"/>
  <c r="K108" i="9"/>
  <c r="R120" i="9"/>
  <c r="I136" i="9"/>
  <c r="K136" i="9" s="1"/>
  <c r="R141" i="9"/>
  <c r="T144" i="9"/>
  <c r="N176" i="9"/>
  <c r="M188" i="9"/>
  <c r="M192" i="9"/>
  <c r="P192" i="9" s="1"/>
  <c r="O267" i="9"/>
  <c r="U269" i="9"/>
  <c r="L309" i="9"/>
  <c r="O309" i="9" s="1"/>
  <c r="R333" i="9"/>
  <c r="U333" i="9" s="1"/>
  <c r="U334" i="9"/>
  <c r="L336" i="9"/>
  <c r="O338" i="9"/>
  <c r="L335" i="9"/>
  <c r="U514" i="9"/>
  <c r="R513" i="9"/>
  <c r="U513" i="9" s="1"/>
  <c r="S145" i="1"/>
  <c r="S398" i="1"/>
  <c r="L50" i="8"/>
  <c r="O50" i="8" s="1"/>
  <c r="R415" i="8"/>
  <c r="U415" i="8" s="1"/>
  <c r="P518" i="8"/>
  <c r="J702" i="8"/>
  <c r="U19" i="9"/>
  <c r="N74" i="9"/>
  <c r="N72" i="9" s="1"/>
  <c r="P77" i="9"/>
  <c r="M189" i="9"/>
  <c r="P189" i="9" s="1"/>
  <c r="O334" i="9"/>
  <c r="Q496" i="9"/>
  <c r="T496" i="9" s="1"/>
  <c r="T498" i="9"/>
  <c r="Q495" i="9"/>
  <c r="T495" i="9" s="1"/>
  <c r="R377" i="7"/>
  <c r="R375" i="7" s="1"/>
  <c r="I492" i="7"/>
  <c r="K492" i="7" s="1"/>
  <c r="K780" i="7"/>
  <c r="M100" i="8"/>
  <c r="P100" i="8" s="1"/>
  <c r="Q119" i="8"/>
  <c r="Q117" i="8" s="1"/>
  <c r="N188" i="8"/>
  <c r="R268" i="8"/>
  <c r="R266" i="8" s="1"/>
  <c r="N268" i="8"/>
  <c r="L309" i="8"/>
  <c r="O309" i="8" s="1"/>
  <c r="L362" i="8"/>
  <c r="O362" i="8" s="1"/>
  <c r="K726" i="8"/>
  <c r="O19" i="9"/>
  <c r="Q23" i="9"/>
  <c r="P49" i="9"/>
  <c r="P64" i="9"/>
  <c r="I83" i="9"/>
  <c r="T95" i="9"/>
  <c r="Q96" i="9"/>
  <c r="T99" i="9"/>
  <c r="O118" i="9"/>
  <c r="P140" i="9"/>
  <c r="M141" i="9"/>
  <c r="O158" i="9"/>
  <c r="L175" i="9"/>
  <c r="O175" i="9" s="1"/>
  <c r="T191" i="9"/>
  <c r="L233" i="9"/>
  <c r="L254" i="9"/>
  <c r="O254" i="9" s="1"/>
  <c r="S416" i="9"/>
  <c r="T418" i="9"/>
  <c r="S415" i="9"/>
  <c r="T415" i="9" s="1"/>
  <c r="Q176" i="7"/>
  <c r="T176" i="7" s="1"/>
  <c r="S96" i="8"/>
  <c r="S94" i="8" s="1"/>
  <c r="P99" i="8"/>
  <c r="O189" i="8"/>
  <c r="M192" i="8"/>
  <c r="P192" i="8" s="1"/>
  <c r="M272" i="8"/>
  <c r="P272" i="8" s="1"/>
  <c r="M381" i="8"/>
  <c r="P381" i="8" s="1"/>
  <c r="J374" i="8"/>
  <c r="S618" i="8"/>
  <c r="S616" i="8" s="1"/>
  <c r="T619" i="8"/>
  <c r="J675" i="8"/>
  <c r="R730" i="8"/>
  <c r="U730" i="8" s="1"/>
  <c r="K780" i="8"/>
  <c r="K783" i="8"/>
  <c r="U22" i="9"/>
  <c r="R23" i="9"/>
  <c r="S44" i="9"/>
  <c r="S59" i="9"/>
  <c r="R96" i="9"/>
  <c r="L100" i="9"/>
  <c r="O100" i="9" s="1"/>
  <c r="L119" i="9"/>
  <c r="O119" i="9" s="1"/>
  <c r="R119" i="9"/>
  <c r="U144" i="9"/>
  <c r="L159" i="9"/>
  <c r="O159" i="9" s="1"/>
  <c r="Q188" i="9"/>
  <c r="Q189" i="9"/>
  <c r="T189" i="9" s="1"/>
  <c r="K292" i="9"/>
  <c r="I281" i="9"/>
  <c r="K281" i="9" s="1"/>
  <c r="P376" i="9"/>
  <c r="L381" i="9"/>
  <c r="O381" i="9" s="1"/>
  <c r="O383" i="9"/>
  <c r="L377" i="9"/>
  <c r="O377" i="9" s="1"/>
  <c r="T394" i="9"/>
  <c r="M415" i="9"/>
  <c r="M413" i="9" s="1"/>
  <c r="P418" i="9"/>
  <c r="M416" i="9"/>
  <c r="I423" i="9"/>
  <c r="K440" i="9"/>
  <c r="S362" i="1"/>
  <c r="I136" i="8"/>
  <c r="K136" i="8" s="1"/>
  <c r="N269" i="8"/>
  <c r="P269" i="8" s="1"/>
  <c r="T733" i="8"/>
  <c r="O22" i="9"/>
  <c r="L96" i="9"/>
  <c r="T203" i="9"/>
  <c r="N266" i="9"/>
  <c r="N269" i="9"/>
  <c r="P271" i="9"/>
  <c r="M288" i="9"/>
  <c r="P288" i="9" s="1"/>
  <c r="P290" i="9"/>
  <c r="P304" i="9"/>
  <c r="U305" i="9"/>
  <c r="R303" i="9"/>
  <c r="J343" i="9"/>
  <c r="J332" i="9"/>
  <c r="K332" i="9" s="1"/>
  <c r="O271" i="9"/>
  <c r="U271" i="9"/>
  <c r="O274" i="9"/>
  <c r="O287" i="9"/>
  <c r="P308" i="9"/>
  <c r="T321" i="9"/>
  <c r="N336" i="9"/>
  <c r="P338" i="9"/>
  <c r="M358" i="9"/>
  <c r="P364" i="9"/>
  <c r="R377" i="9"/>
  <c r="U377" i="9" s="1"/>
  <c r="Q395" i="9"/>
  <c r="T395" i="9" s="1"/>
  <c r="T397" i="9"/>
  <c r="P414" i="9"/>
  <c r="N415" i="9"/>
  <c r="N413" i="9" s="1"/>
  <c r="U418" i="9"/>
  <c r="I456" i="9"/>
  <c r="K456" i="9" s="1"/>
  <c r="O494" i="9"/>
  <c r="N602" i="9"/>
  <c r="N601" i="9"/>
  <c r="N599" i="9" s="1"/>
  <c r="I238" i="9"/>
  <c r="K238" i="9" s="1"/>
  <c r="N558" i="9"/>
  <c r="N557" i="9"/>
  <c r="N555" i="9" s="1"/>
  <c r="S282" i="9"/>
  <c r="L285" i="9"/>
  <c r="O285" i="9" s="1"/>
  <c r="S356" i="9"/>
  <c r="P359" i="9"/>
  <c r="K458" i="9"/>
  <c r="T494" i="9"/>
  <c r="N495" i="9"/>
  <c r="N493" i="9" s="1"/>
  <c r="T536" i="9"/>
  <c r="Q534" i="9"/>
  <c r="T534" i="9" s="1"/>
  <c r="S306" i="9"/>
  <c r="T308" i="9"/>
  <c r="O518" i="9"/>
  <c r="L515" i="9"/>
  <c r="M582" i="9"/>
  <c r="P582" i="9" s="1"/>
  <c r="P584" i="9"/>
  <c r="I242" i="9"/>
  <c r="S303" i="9"/>
  <c r="U308" i="9"/>
  <c r="N322" i="9"/>
  <c r="N320" i="9" s="1"/>
  <c r="U380" i="9"/>
  <c r="O393" i="9"/>
  <c r="P421" i="9"/>
  <c r="O542" i="9"/>
  <c r="L536" i="9"/>
  <c r="O556" i="9"/>
  <c r="P600" i="9"/>
  <c r="T621" i="9"/>
  <c r="Q618" i="9"/>
  <c r="T618" i="9" s="1"/>
  <c r="Q619" i="9"/>
  <c r="P498" i="9"/>
  <c r="P560" i="9"/>
  <c r="N582" i="9"/>
  <c r="N578" i="9"/>
  <c r="M642" i="9"/>
  <c r="P642" i="9" s="1"/>
  <c r="P644" i="9"/>
  <c r="L760" i="9"/>
  <c r="O760" i="9" s="1"/>
  <c r="O762" i="9"/>
  <c r="Q605" i="9"/>
  <c r="T605" i="9" s="1"/>
  <c r="T607" i="9"/>
  <c r="T643" i="9"/>
  <c r="M690" i="9"/>
  <c r="P690" i="9" s="1"/>
  <c r="P692" i="9"/>
  <c r="U617" i="9"/>
  <c r="T691" i="9"/>
  <c r="P521" i="9"/>
  <c r="M515" i="9"/>
  <c r="P515" i="9" s="1"/>
  <c r="O617" i="9"/>
  <c r="L616" i="9"/>
  <c r="O616" i="9" s="1"/>
  <c r="Q714" i="9"/>
  <c r="T714" i="9" s="1"/>
  <c r="T716" i="9"/>
  <c r="K726" i="9"/>
  <c r="Q728" i="9"/>
  <c r="Q576" i="9"/>
  <c r="T576" i="9" s="1"/>
  <c r="Q601" i="9"/>
  <c r="K705" i="9"/>
  <c r="I701" i="9"/>
  <c r="R760" i="9"/>
  <c r="K626" i="9"/>
  <c r="R730" i="9"/>
  <c r="U733" i="9"/>
  <c r="S762" i="9"/>
  <c r="S760" i="9" s="1"/>
  <c r="S693" i="9"/>
  <c r="T693" i="9" s="1"/>
  <c r="L578" i="9"/>
  <c r="R644" i="9"/>
  <c r="R692" i="9"/>
  <c r="Q762" i="9"/>
  <c r="O274" i="7"/>
  <c r="M495" i="7"/>
  <c r="P495" i="7" s="1"/>
  <c r="R78" i="8"/>
  <c r="U78" i="8" s="1"/>
  <c r="S74" i="8"/>
  <c r="S72" i="8" s="1"/>
  <c r="T99" i="8"/>
  <c r="S23" i="8"/>
  <c r="S21" i="8" s="1"/>
  <c r="K153" i="8"/>
  <c r="R192" i="8"/>
  <c r="U192" i="8" s="1"/>
  <c r="M377" i="8"/>
  <c r="M375" i="8" s="1"/>
  <c r="R395" i="8"/>
  <c r="U395" i="8" s="1"/>
  <c r="L579" i="8"/>
  <c r="O579" i="8" s="1"/>
  <c r="U733" i="8"/>
  <c r="I759" i="8"/>
  <c r="K759" i="8" s="1"/>
  <c r="J701" i="6"/>
  <c r="N61" i="8"/>
  <c r="N59" i="8" s="1"/>
  <c r="I83" i="8"/>
  <c r="I71" i="8" s="1"/>
  <c r="K71" i="8" s="1"/>
  <c r="S141" i="8"/>
  <c r="S139" i="8" s="1"/>
  <c r="L203" i="8"/>
  <c r="O203" i="8" s="1"/>
  <c r="P308" i="8"/>
  <c r="M339" i="8"/>
  <c r="P339" i="8" s="1"/>
  <c r="P364" i="8"/>
  <c r="M579" i="8"/>
  <c r="P579" i="8" s="1"/>
  <c r="K707" i="8"/>
  <c r="S731" i="8"/>
  <c r="U731" i="8" s="1"/>
  <c r="Q78" i="5"/>
  <c r="T78" i="5" s="1"/>
  <c r="R268" i="7"/>
  <c r="R266" i="7" s="1"/>
  <c r="R601" i="7"/>
  <c r="U601" i="7" s="1"/>
  <c r="P64" i="8"/>
  <c r="R142" i="8"/>
  <c r="U142" i="8" s="1"/>
  <c r="O147" i="8"/>
  <c r="Q159" i="8"/>
  <c r="T159" i="8" s="1"/>
  <c r="O290" i="8"/>
  <c r="T306" i="8"/>
  <c r="L323" i="8"/>
  <c r="O323" i="8" s="1"/>
  <c r="O361" i="8"/>
  <c r="T418" i="8"/>
  <c r="L516" i="8"/>
  <c r="O516" i="8" s="1"/>
  <c r="O560" i="8"/>
  <c r="K629" i="8"/>
  <c r="J701" i="8"/>
  <c r="J351" i="6"/>
  <c r="K183" i="7"/>
  <c r="L62" i="8"/>
  <c r="P80" i="8"/>
  <c r="T97" i="8"/>
  <c r="N119" i="8"/>
  <c r="N117" i="8" s="1"/>
  <c r="R159" i="8"/>
  <c r="U159" i="8" s="1"/>
  <c r="T162" i="8"/>
  <c r="Q188" i="8"/>
  <c r="Q186" i="8" s="1"/>
  <c r="L285" i="8"/>
  <c r="O285" i="8" s="1"/>
  <c r="Q305" i="8"/>
  <c r="Q303" i="8" s="1"/>
  <c r="J332" i="8"/>
  <c r="K332" i="8" s="1"/>
  <c r="S416" i="8"/>
  <c r="U416" i="8" s="1"/>
  <c r="M419" i="8"/>
  <c r="P419" i="8" s="1"/>
  <c r="I615" i="8"/>
  <c r="Q762" i="8"/>
  <c r="T762" i="8" s="1"/>
  <c r="K779" i="8"/>
  <c r="P65" i="8"/>
  <c r="U97" i="8"/>
  <c r="M159" i="8"/>
  <c r="M157" i="8" s="1"/>
  <c r="P157" i="8" s="1"/>
  <c r="R188" i="8"/>
  <c r="R186" i="8" s="1"/>
  <c r="Q377" i="8"/>
  <c r="Q375" i="8" s="1"/>
  <c r="U397" i="8"/>
  <c r="O542" i="8"/>
  <c r="K632" i="8"/>
  <c r="S760" i="8"/>
  <c r="L309" i="1"/>
  <c r="O309" i="1" s="1"/>
  <c r="L578" i="7"/>
  <c r="L576" i="7" s="1"/>
  <c r="O576" i="7" s="1"/>
  <c r="Q74" i="8"/>
  <c r="T74" i="8" s="1"/>
  <c r="M176" i="8"/>
  <c r="M175" i="8"/>
  <c r="M173" i="8" s="1"/>
  <c r="P165" i="7"/>
  <c r="M175" i="7"/>
  <c r="M173" i="7" s="1"/>
  <c r="Q378" i="7"/>
  <c r="L495" i="7"/>
  <c r="O495" i="7" s="1"/>
  <c r="L74" i="8"/>
  <c r="R74" i="8"/>
  <c r="U74" i="8" s="1"/>
  <c r="N96" i="8"/>
  <c r="N94" i="8" s="1"/>
  <c r="M97" i="8"/>
  <c r="P97" i="8" s="1"/>
  <c r="K108" i="8"/>
  <c r="I116" i="8"/>
  <c r="K116" i="8" s="1"/>
  <c r="R119" i="8"/>
  <c r="R117" i="8" s="1"/>
  <c r="Q123" i="8"/>
  <c r="T123" i="8" s="1"/>
  <c r="L142" i="8"/>
  <c r="O142" i="8" s="1"/>
  <c r="L163" i="8"/>
  <c r="O163" i="8" s="1"/>
  <c r="K229" i="8"/>
  <c r="N272" i="8"/>
  <c r="N284" i="8"/>
  <c r="N282" i="8" s="1"/>
  <c r="N288" i="8"/>
  <c r="N309" i="8"/>
  <c r="N305" i="8"/>
  <c r="N303" i="8" s="1"/>
  <c r="N335" i="8"/>
  <c r="N333" i="8" s="1"/>
  <c r="N339" i="8"/>
  <c r="R378" i="8"/>
  <c r="R377" i="8"/>
  <c r="U380" i="8"/>
  <c r="S394" i="8"/>
  <c r="S392" i="8" s="1"/>
  <c r="N415" i="8"/>
  <c r="N413" i="8" s="1"/>
  <c r="O421" i="8"/>
  <c r="L419" i="8"/>
  <c r="O419" i="8" s="1"/>
  <c r="P498" i="8"/>
  <c r="M496" i="8"/>
  <c r="P496" i="8" s="1"/>
  <c r="L582" i="8"/>
  <c r="O582" i="8" s="1"/>
  <c r="O584" i="8"/>
  <c r="S645" i="8"/>
  <c r="S644" i="8"/>
  <c r="S642" i="8" s="1"/>
  <c r="R693" i="8"/>
  <c r="U693" i="8" s="1"/>
  <c r="U695" i="8"/>
  <c r="R692" i="8"/>
  <c r="U692" i="8" s="1"/>
  <c r="K292" i="8"/>
  <c r="I281" i="8"/>
  <c r="K281" i="8" s="1"/>
  <c r="Q96" i="7"/>
  <c r="T96" i="7" s="1"/>
  <c r="P364" i="7"/>
  <c r="K368" i="7"/>
  <c r="Q730" i="7"/>
  <c r="Q728" i="7" s="1"/>
  <c r="O67" i="8"/>
  <c r="Q96" i="8"/>
  <c r="O99" i="8"/>
  <c r="L119" i="8"/>
  <c r="O119" i="8" s="1"/>
  <c r="S119" i="8"/>
  <c r="P122" i="8"/>
  <c r="P162" i="8"/>
  <c r="M163" i="8"/>
  <c r="P163" i="8" s="1"/>
  <c r="R175" i="8"/>
  <c r="U175" i="8" s="1"/>
  <c r="P189" i="8"/>
  <c r="L192" i="8"/>
  <c r="O192" i="8" s="1"/>
  <c r="L222" i="8"/>
  <c r="O222" i="8" s="1"/>
  <c r="L336" i="8"/>
  <c r="L335" i="8"/>
  <c r="L333" i="8" s="1"/>
  <c r="U394" i="8"/>
  <c r="R392" i="8"/>
  <c r="U392" i="8" s="1"/>
  <c r="N602" i="8"/>
  <c r="N601" i="8"/>
  <c r="N599" i="8" s="1"/>
  <c r="M605" i="8"/>
  <c r="P605" i="8" s="1"/>
  <c r="P607" i="8"/>
  <c r="M601" i="8"/>
  <c r="J674" i="8"/>
  <c r="S693" i="8"/>
  <c r="S692" i="8"/>
  <c r="S690" i="8" s="1"/>
  <c r="U647" i="8"/>
  <c r="R645" i="8"/>
  <c r="U645" i="8" s="1"/>
  <c r="R141" i="7"/>
  <c r="U141" i="7" s="1"/>
  <c r="T397" i="7"/>
  <c r="O80" i="8"/>
  <c r="M119" i="8"/>
  <c r="P119" i="8" s="1"/>
  <c r="P290" i="8"/>
  <c r="P325" i="8"/>
  <c r="M323" i="8"/>
  <c r="P323" i="8" s="1"/>
  <c r="N358" i="8"/>
  <c r="N356" i="8" s="1"/>
  <c r="N362" i="8"/>
  <c r="O418" i="8"/>
  <c r="L416" i="8"/>
  <c r="O416" i="8" s="1"/>
  <c r="L306" i="7"/>
  <c r="O306" i="7" s="1"/>
  <c r="M23" i="8"/>
  <c r="M21" i="8" s="1"/>
  <c r="O65" i="8"/>
  <c r="N141" i="8"/>
  <c r="N139" i="8" s="1"/>
  <c r="S142" i="8"/>
  <c r="O191" i="8"/>
  <c r="L214" i="8"/>
  <c r="O214" i="8" s="1"/>
  <c r="S269" i="8"/>
  <c r="U269" i="8" s="1"/>
  <c r="S268" i="8"/>
  <c r="L268" i="8"/>
  <c r="L272" i="8"/>
  <c r="O272" i="8" s="1"/>
  <c r="N323" i="8"/>
  <c r="N322" i="8"/>
  <c r="N320" i="8" s="1"/>
  <c r="L358" i="8"/>
  <c r="L356" i="8" s="1"/>
  <c r="L359" i="8"/>
  <c r="O359" i="8" s="1"/>
  <c r="K457" i="8"/>
  <c r="I456" i="8"/>
  <c r="K456" i="8" s="1"/>
  <c r="L222" i="1"/>
  <c r="O222" i="1" s="1"/>
  <c r="S394" i="3"/>
  <c r="S392" i="3" s="1"/>
  <c r="N46" i="7"/>
  <c r="N44" i="7" s="1"/>
  <c r="L61" i="7"/>
  <c r="L59" i="7" s="1"/>
  <c r="I138" i="7"/>
  <c r="K138" i="7" s="1"/>
  <c r="L519" i="7"/>
  <c r="O519" i="7" s="1"/>
  <c r="I615" i="7"/>
  <c r="K615" i="7" s="1"/>
  <c r="P125" i="8"/>
  <c r="R141" i="8"/>
  <c r="U141" i="8" s="1"/>
  <c r="M160" i="8"/>
  <c r="P160" i="8" s="1"/>
  <c r="R176" i="8"/>
  <c r="U176" i="8" s="1"/>
  <c r="L179" i="8"/>
  <c r="O179" i="8" s="1"/>
  <c r="K221" i="8"/>
  <c r="L254" i="8"/>
  <c r="O254" i="8" s="1"/>
  <c r="U271" i="8"/>
  <c r="P287" i="8"/>
  <c r="M285" i="8"/>
  <c r="P285" i="8" s="1"/>
  <c r="M284" i="8"/>
  <c r="O328" i="8"/>
  <c r="L326" i="8"/>
  <c r="O326" i="8" s="1"/>
  <c r="K330" i="8"/>
  <c r="L339" i="8"/>
  <c r="O339" i="8" s="1"/>
  <c r="O341" i="8"/>
  <c r="P563" i="8"/>
  <c r="M561" i="8"/>
  <c r="P561" i="8" s="1"/>
  <c r="R644" i="8"/>
  <c r="U644" i="8" s="1"/>
  <c r="L236" i="8"/>
  <c r="K386" i="8"/>
  <c r="T397" i="8"/>
  <c r="Q415" i="8"/>
  <c r="T415" i="8" s="1"/>
  <c r="L578" i="8"/>
  <c r="O578" i="8" s="1"/>
  <c r="S601" i="8"/>
  <c r="S599" i="8" s="1"/>
  <c r="K630" i="8"/>
  <c r="K727" i="8"/>
  <c r="Q730" i="8"/>
  <c r="T730" i="8" s="1"/>
  <c r="K782" i="8"/>
  <c r="K346" i="8"/>
  <c r="J503" i="8"/>
  <c r="J492" i="8" s="1"/>
  <c r="M537" i="8"/>
  <c r="P537" i="8" s="1"/>
  <c r="P338" i="8"/>
  <c r="T380" i="8"/>
  <c r="U418" i="8"/>
  <c r="K504" i="8"/>
  <c r="L536" i="8"/>
  <c r="U765" i="8"/>
  <c r="T765" i="8"/>
  <c r="K785" i="8"/>
  <c r="T19" i="8"/>
  <c r="N47" i="8"/>
  <c r="P47" i="8" s="1"/>
  <c r="O49" i="8"/>
  <c r="N23" i="8"/>
  <c r="P52" i="8"/>
  <c r="M46" i="8"/>
  <c r="K198" i="8"/>
  <c r="I195" i="8"/>
  <c r="K195" i="8" s="1"/>
  <c r="U414" i="8"/>
  <c r="I202" i="3"/>
  <c r="K202" i="3" s="1"/>
  <c r="Q496" i="5"/>
  <c r="T496" i="5" s="1"/>
  <c r="I136" i="6"/>
  <c r="K136" i="6" s="1"/>
  <c r="L236" i="6"/>
  <c r="O65" i="7"/>
  <c r="S96" i="7"/>
  <c r="S94" i="7" s="1"/>
  <c r="P162" i="7"/>
  <c r="O560" i="7"/>
  <c r="M602" i="7"/>
  <c r="P602" i="7" s="1"/>
  <c r="S692" i="7"/>
  <c r="S690" i="7" s="1"/>
  <c r="J701" i="7"/>
  <c r="R23" i="8"/>
  <c r="L26" i="8"/>
  <c r="P49" i="8"/>
  <c r="N50" i="8"/>
  <c r="N26" i="8"/>
  <c r="N24" i="8" s="1"/>
  <c r="R59" i="8"/>
  <c r="U59" i="8" s="1"/>
  <c r="Q59" i="8"/>
  <c r="T59" i="8" s="1"/>
  <c r="N62" i="8"/>
  <c r="P62" i="8" s="1"/>
  <c r="O64" i="8"/>
  <c r="P67" i="8"/>
  <c r="M61" i="8"/>
  <c r="K87" i="8"/>
  <c r="U99" i="8"/>
  <c r="T118" i="8"/>
  <c r="T122" i="8"/>
  <c r="T140" i="8"/>
  <c r="N159" i="8"/>
  <c r="N157" i="8" s="1"/>
  <c r="N160" i="8"/>
  <c r="U267" i="8"/>
  <c r="M359" i="8"/>
  <c r="P359" i="8" s="1"/>
  <c r="P361" i="8"/>
  <c r="P380" i="8"/>
  <c r="N378" i="8"/>
  <c r="P378" i="8" s="1"/>
  <c r="N377" i="8"/>
  <c r="I93" i="3"/>
  <c r="K93" i="3" s="1"/>
  <c r="L233" i="7"/>
  <c r="Q268" i="7"/>
  <c r="Q266" i="7" s="1"/>
  <c r="K630" i="7"/>
  <c r="K653" i="7"/>
  <c r="P25" i="8"/>
  <c r="M26" i="8"/>
  <c r="U95" i="8"/>
  <c r="U122" i="8"/>
  <c r="U125" i="8"/>
  <c r="R26" i="8"/>
  <c r="S189" i="8"/>
  <c r="U189" i="8" s="1"/>
  <c r="U191" i="8"/>
  <c r="S188" i="8"/>
  <c r="T191" i="8"/>
  <c r="K209" i="8"/>
  <c r="I202" i="8"/>
  <c r="K202" i="8" s="1"/>
  <c r="S100" i="1"/>
  <c r="U73" i="8"/>
  <c r="O95" i="8"/>
  <c r="P191" i="8"/>
  <c r="M188" i="8"/>
  <c r="O267" i="8"/>
  <c r="Q269" i="8"/>
  <c r="T271" i="8"/>
  <c r="Q268" i="8"/>
  <c r="R159" i="6"/>
  <c r="U159" i="6" s="1"/>
  <c r="N74" i="7"/>
  <c r="N72" i="7" s="1"/>
  <c r="U122" i="7"/>
  <c r="L142" i="7"/>
  <c r="O142" i="7" s="1"/>
  <c r="M159" i="7"/>
  <c r="P159" i="7" s="1"/>
  <c r="L175" i="7"/>
  <c r="L173" i="7" s="1"/>
  <c r="S188" i="7"/>
  <c r="S186" i="7" s="1"/>
  <c r="K198" i="7"/>
  <c r="L284" i="7"/>
  <c r="O284" i="7" s="1"/>
  <c r="M358" i="7"/>
  <c r="M356" i="7" s="1"/>
  <c r="R762" i="7"/>
  <c r="R760" i="7" s="1"/>
  <c r="M19" i="8"/>
  <c r="P22" i="8"/>
  <c r="Q23" i="8"/>
  <c r="Q75" i="8"/>
  <c r="T75" i="8" s="1"/>
  <c r="K109" i="8"/>
  <c r="I93" i="8"/>
  <c r="K93" i="8" s="1"/>
  <c r="L120" i="8"/>
  <c r="O120" i="8" s="1"/>
  <c r="L123" i="8"/>
  <c r="O123" i="8" s="1"/>
  <c r="U140" i="8"/>
  <c r="L233" i="8"/>
  <c r="M60" i="1"/>
  <c r="P60" i="1" s="1"/>
  <c r="L75" i="7"/>
  <c r="O75" i="7" s="1"/>
  <c r="O311" i="7"/>
  <c r="O359" i="7"/>
  <c r="K784" i="7"/>
  <c r="S26" i="8"/>
  <c r="N46" i="8"/>
  <c r="N44" i="8" s="1"/>
  <c r="M50" i="8"/>
  <c r="P50" i="8" s="1"/>
  <c r="Q26" i="8"/>
  <c r="T26" i="8" s="1"/>
  <c r="Q78" i="8"/>
  <c r="T78" i="8" s="1"/>
  <c r="O97" i="8"/>
  <c r="O102" i="8"/>
  <c r="O140" i="8"/>
  <c r="M141" i="8"/>
  <c r="M142" i="8"/>
  <c r="P142" i="8" s="1"/>
  <c r="Q142" i="8"/>
  <c r="T142" i="8" s="1"/>
  <c r="T144" i="8"/>
  <c r="P147" i="8"/>
  <c r="M145" i="8"/>
  <c r="P145" i="8" s="1"/>
  <c r="I137" i="8"/>
  <c r="K137" i="8" s="1"/>
  <c r="K152" i="8"/>
  <c r="O162" i="8"/>
  <c r="L160" i="8"/>
  <c r="O160" i="8" s="1"/>
  <c r="L159" i="8"/>
  <c r="S160" i="8"/>
  <c r="S159" i="8"/>
  <c r="S157" i="8" s="1"/>
  <c r="N176" i="8"/>
  <c r="O176" i="8" s="1"/>
  <c r="N175" i="8"/>
  <c r="N173" i="8" s="1"/>
  <c r="L234" i="8"/>
  <c r="L243" i="8"/>
  <c r="L141" i="8"/>
  <c r="O141" i="8" s="1"/>
  <c r="L175" i="8"/>
  <c r="P178" i="8"/>
  <c r="M179" i="8"/>
  <c r="P179" i="8" s="1"/>
  <c r="Q192" i="8"/>
  <c r="T192" i="8" s="1"/>
  <c r="U284" i="8"/>
  <c r="U308" i="8"/>
  <c r="R306" i="8"/>
  <c r="U306" i="8" s="1"/>
  <c r="P376" i="8"/>
  <c r="O414" i="8"/>
  <c r="L499" i="8"/>
  <c r="O499" i="8" s="1"/>
  <c r="O501" i="8"/>
  <c r="M309" i="8"/>
  <c r="P309" i="8" s="1"/>
  <c r="P311" i="8"/>
  <c r="Q320" i="8"/>
  <c r="T320" i="8" s="1"/>
  <c r="T321" i="8"/>
  <c r="L496" i="8"/>
  <c r="O496" i="8" s="1"/>
  <c r="O498" i="8"/>
  <c r="L495" i="8"/>
  <c r="M642" i="8"/>
  <c r="P642" i="8" s="1"/>
  <c r="P644" i="8"/>
  <c r="K183" i="8"/>
  <c r="J365" i="8"/>
  <c r="K365" i="8" s="1"/>
  <c r="K371" i="8"/>
  <c r="L46" i="8"/>
  <c r="L61" i="8"/>
  <c r="R160" i="8"/>
  <c r="U160" i="8" s="1"/>
  <c r="O178" i="8"/>
  <c r="K220" i="8"/>
  <c r="O271" i="8"/>
  <c r="I302" i="8"/>
  <c r="K302" i="8" s="1"/>
  <c r="R303" i="8"/>
  <c r="P304" i="8"/>
  <c r="L305" i="8"/>
  <c r="L378" i="8"/>
  <c r="L377" i="8"/>
  <c r="L375" i="8" s="1"/>
  <c r="O380" i="8"/>
  <c r="T174" i="8"/>
  <c r="Q175" i="8"/>
  <c r="T175" i="8" s="1"/>
  <c r="T178" i="8"/>
  <c r="Q282" i="8"/>
  <c r="T282" i="8" s="1"/>
  <c r="L306" i="8"/>
  <c r="O306" i="8" s="1"/>
  <c r="P328" i="8"/>
  <c r="M415" i="8"/>
  <c r="P418" i="8"/>
  <c r="M416" i="8"/>
  <c r="P416" i="8" s="1"/>
  <c r="K249" i="8"/>
  <c r="I242" i="8"/>
  <c r="M305" i="8"/>
  <c r="P305" i="8" s="1"/>
  <c r="S305" i="8"/>
  <c r="U305" i="8" s="1"/>
  <c r="T308" i="8"/>
  <c r="O321" i="8"/>
  <c r="M322" i="8"/>
  <c r="K369" i="8"/>
  <c r="Q513" i="8"/>
  <c r="T513" i="8" s="1"/>
  <c r="T556" i="8"/>
  <c r="Q555" i="8"/>
  <c r="T555" i="8" s="1"/>
  <c r="Q534" i="8"/>
  <c r="T534" i="8" s="1"/>
  <c r="T536" i="8"/>
  <c r="M582" i="8"/>
  <c r="P582" i="8" s="1"/>
  <c r="P584" i="8"/>
  <c r="M578" i="8"/>
  <c r="J343" i="8"/>
  <c r="M392" i="8"/>
  <c r="P392" i="8" s="1"/>
  <c r="K458" i="8"/>
  <c r="R493" i="8"/>
  <c r="U493" i="8" s="1"/>
  <c r="U495" i="8"/>
  <c r="Q496" i="8"/>
  <c r="T496" i="8" s="1"/>
  <c r="T498" i="8"/>
  <c r="R333" i="8"/>
  <c r="U333" i="8" s="1"/>
  <c r="N515" i="8"/>
  <c r="N513" i="8" s="1"/>
  <c r="N519" i="8"/>
  <c r="U578" i="8"/>
  <c r="R576" i="8"/>
  <c r="U576" i="8" s="1"/>
  <c r="L602" i="8"/>
  <c r="O602" i="8" s="1"/>
  <c r="O604" i="8"/>
  <c r="L601" i="8"/>
  <c r="U621" i="8"/>
  <c r="R618" i="8"/>
  <c r="R619" i="8"/>
  <c r="U619" i="8" s="1"/>
  <c r="J615" i="8"/>
  <c r="K626" i="8"/>
  <c r="S356" i="8"/>
  <c r="K368" i="8"/>
  <c r="O383" i="8"/>
  <c r="I374" i="8"/>
  <c r="N392" i="8"/>
  <c r="T393" i="8"/>
  <c r="K503" i="8"/>
  <c r="I492" i="8"/>
  <c r="K492" i="8" s="1"/>
  <c r="T494" i="8"/>
  <c r="Q493" i="8"/>
  <c r="T493" i="8" s="1"/>
  <c r="R496" i="8"/>
  <c r="U496" i="8" s="1"/>
  <c r="U498" i="8"/>
  <c r="U556" i="8"/>
  <c r="R555" i="8"/>
  <c r="U555" i="8" s="1"/>
  <c r="N582" i="8"/>
  <c r="N578" i="8"/>
  <c r="N576" i="8" s="1"/>
  <c r="Q605" i="8"/>
  <c r="T605" i="8" s="1"/>
  <c r="T607" i="8"/>
  <c r="U617" i="8"/>
  <c r="T647" i="8"/>
  <c r="Q644" i="8"/>
  <c r="T644" i="8" s="1"/>
  <c r="Q645" i="8"/>
  <c r="T645" i="8" s="1"/>
  <c r="T691" i="8"/>
  <c r="T761" i="8"/>
  <c r="O563" i="8"/>
  <c r="L557" i="8"/>
  <c r="O557" i="8" s="1"/>
  <c r="R605" i="8"/>
  <c r="U605" i="8" s="1"/>
  <c r="U607" i="8"/>
  <c r="T643" i="8"/>
  <c r="U691" i="8"/>
  <c r="K703" i="8"/>
  <c r="I701" i="8"/>
  <c r="K701" i="8" s="1"/>
  <c r="L714" i="8"/>
  <c r="O714" i="8" s="1"/>
  <c r="M540" i="8"/>
  <c r="P540" i="8" s="1"/>
  <c r="P542" i="8"/>
  <c r="M536" i="8"/>
  <c r="O556" i="8"/>
  <c r="L561" i="8"/>
  <c r="O561" i="8" s="1"/>
  <c r="L605" i="8"/>
  <c r="O605" i="8" s="1"/>
  <c r="O607" i="8"/>
  <c r="O617" i="8"/>
  <c r="L616" i="8"/>
  <c r="O616" i="8" s="1"/>
  <c r="U643" i="8"/>
  <c r="O691" i="8"/>
  <c r="L690" i="8"/>
  <c r="O690" i="8" s="1"/>
  <c r="M760" i="8"/>
  <c r="P760" i="8" s="1"/>
  <c r="L322" i="8"/>
  <c r="O322" i="8" s="1"/>
  <c r="M335" i="8"/>
  <c r="L519" i="8"/>
  <c r="O519" i="8" s="1"/>
  <c r="O521" i="8"/>
  <c r="L515" i="8"/>
  <c r="N540" i="8"/>
  <c r="N536" i="8"/>
  <c r="N534" i="8" s="1"/>
  <c r="P556" i="8"/>
  <c r="N557" i="8"/>
  <c r="N555" i="8" s="1"/>
  <c r="M558" i="8"/>
  <c r="P558" i="8" s="1"/>
  <c r="P560" i="8"/>
  <c r="Q602" i="8"/>
  <c r="T602" i="8" s="1"/>
  <c r="T604" i="8"/>
  <c r="P617" i="8"/>
  <c r="M616" i="8"/>
  <c r="P616" i="8" s="1"/>
  <c r="O643" i="8"/>
  <c r="L642" i="8"/>
  <c r="O642" i="8" s="1"/>
  <c r="Q714" i="8"/>
  <c r="T714" i="8" s="1"/>
  <c r="T716" i="8"/>
  <c r="L728" i="8"/>
  <c r="O728" i="8" s="1"/>
  <c r="M519" i="8"/>
  <c r="P519" i="8" s="1"/>
  <c r="P521" i="8"/>
  <c r="M515" i="8"/>
  <c r="R534" i="8"/>
  <c r="U534" i="8" s="1"/>
  <c r="Q576" i="8"/>
  <c r="T576" i="8" s="1"/>
  <c r="T578" i="8"/>
  <c r="R602" i="8"/>
  <c r="U602" i="8" s="1"/>
  <c r="U604" i="8"/>
  <c r="T621" i="8"/>
  <c r="Q618" i="8"/>
  <c r="N690" i="8"/>
  <c r="M690" i="8"/>
  <c r="P690" i="8" s="1"/>
  <c r="P692" i="8"/>
  <c r="T695" i="8"/>
  <c r="Q692" i="8"/>
  <c r="T692" i="8" s="1"/>
  <c r="Q693" i="8"/>
  <c r="T693" i="8" s="1"/>
  <c r="L760" i="8"/>
  <c r="O760" i="8" s="1"/>
  <c r="O762" i="8"/>
  <c r="S763" i="8"/>
  <c r="S618" i="7"/>
  <c r="S616" i="7" s="1"/>
  <c r="S619" i="7"/>
  <c r="T619" i="7" s="1"/>
  <c r="J674" i="6"/>
  <c r="K169" i="7"/>
  <c r="S175" i="7"/>
  <c r="T175" i="7" s="1"/>
  <c r="T178" i="7"/>
  <c r="L288" i="7"/>
  <c r="O288" i="7" s="1"/>
  <c r="R306" i="7"/>
  <c r="U308" i="7"/>
  <c r="K330" i="7"/>
  <c r="S394" i="7"/>
  <c r="S392" i="7" s="1"/>
  <c r="S395" i="7"/>
  <c r="P542" i="7"/>
  <c r="M540" i="7"/>
  <c r="P540" i="7" s="1"/>
  <c r="M558" i="4"/>
  <c r="P558" i="4" s="1"/>
  <c r="J674" i="4"/>
  <c r="N141" i="6"/>
  <c r="N139" i="6" s="1"/>
  <c r="K152" i="6"/>
  <c r="L233" i="6"/>
  <c r="K782" i="6"/>
  <c r="N47" i="7"/>
  <c r="P47" i="7" s="1"/>
  <c r="M62" i="7"/>
  <c r="P62" i="7" s="1"/>
  <c r="R142" i="7"/>
  <c r="U142" i="7" s="1"/>
  <c r="R192" i="7"/>
  <c r="U192" i="7" s="1"/>
  <c r="L243" i="7"/>
  <c r="O243" i="7" s="1"/>
  <c r="K293" i="7"/>
  <c r="S306" i="7"/>
  <c r="T306" i="7" s="1"/>
  <c r="M322" i="7"/>
  <c r="P322" i="7" s="1"/>
  <c r="K369" i="7"/>
  <c r="N326" i="1"/>
  <c r="N378" i="7"/>
  <c r="N377" i="7"/>
  <c r="N375" i="7" s="1"/>
  <c r="R731" i="7"/>
  <c r="R730" i="7"/>
  <c r="R728" i="7" s="1"/>
  <c r="I138" i="5"/>
  <c r="K138" i="5" s="1"/>
  <c r="Q141" i="6"/>
  <c r="T141" i="6" s="1"/>
  <c r="S74" i="7"/>
  <c r="S72" i="7" s="1"/>
  <c r="L97" i="7"/>
  <c r="O97" i="7" s="1"/>
  <c r="L119" i="7"/>
  <c r="L117" i="7" s="1"/>
  <c r="Q159" i="7"/>
  <c r="P178" i="7"/>
  <c r="S192" i="7"/>
  <c r="I213" i="7"/>
  <c r="K213" i="7" s="1"/>
  <c r="L214" i="7"/>
  <c r="O214" i="7" s="1"/>
  <c r="L285" i="7"/>
  <c r="O285" i="7" s="1"/>
  <c r="O287" i="7"/>
  <c r="L305" i="7"/>
  <c r="O305" i="7" s="1"/>
  <c r="O328" i="7"/>
  <c r="J343" i="7"/>
  <c r="L362" i="7"/>
  <c r="O362" i="7" s="1"/>
  <c r="O364" i="7"/>
  <c r="M415" i="7"/>
  <c r="P415" i="7" s="1"/>
  <c r="M537" i="7"/>
  <c r="P537" i="7" s="1"/>
  <c r="N601" i="7"/>
  <c r="N599" i="7" s="1"/>
  <c r="R696" i="1"/>
  <c r="U696" i="1" s="1"/>
  <c r="N96" i="7"/>
  <c r="N94" i="7" s="1"/>
  <c r="T418" i="7"/>
  <c r="Q416" i="7"/>
  <c r="T416" i="7" s="1"/>
  <c r="L540" i="7"/>
  <c r="O540" i="7" s="1"/>
  <c r="O542" i="7"/>
  <c r="U80" i="6"/>
  <c r="M362" i="6"/>
  <c r="P362" i="6" s="1"/>
  <c r="S730" i="6"/>
  <c r="S728" i="6" s="1"/>
  <c r="Q97" i="7"/>
  <c r="T97" i="7" s="1"/>
  <c r="S119" i="7"/>
  <c r="S117" i="7" s="1"/>
  <c r="T125" i="7"/>
  <c r="R188" i="7"/>
  <c r="U188" i="7" s="1"/>
  <c r="M285" i="7"/>
  <c r="P285" i="7" s="1"/>
  <c r="N305" i="7"/>
  <c r="N303" i="7" s="1"/>
  <c r="M326" i="7"/>
  <c r="P326" i="7" s="1"/>
  <c r="O584" i="7"/>
  <c r="L582" i="7"/>
  <c r="O582" i="7" s="1"/>
  <c r="K783" i="7"/>
  <c r="L381" i="7"/>
  <c r="O381" i="7" s="1"/>
  <c r="O383" i="7"/>
  <c r="Q269" i="6"/>
  <c r="O361" i="6"/>
  <c r="T495" i="6"/>
  <c r="K784" i="6"/>
  <c r="O52" i="7"/>
  <c r="L100" i="7"/>
  <c r="O100" i="7" s="1"/>
  <c r="P123" i="7"/>
  <c r="L141" i="7"/>
  <c r="Q160" i="7"/>
  <c r="T160" i="7" s="1"/>
  <c r="L254" i="7"/>
  <c r="O254" i="7" s="1"/>
  <c r="M419" i="7"/>
  <c r="P419" i="7" s="1"/>
  <c r="P421" i="7"/>
  <c r="J351" i="7"/>
  <c r="M335" i="7"/>
  <c r="M333" i="7" s="1"/>
  <c r="Q394" i="7"/>
  <c r="L536" i="7"/>
  <c r="L534" i="7" s="1"/>
  <c r="O534" i="7" s="1"/>
  <c r="K626" i="7"/>
  <c r="U763" i="7"/>
  <c r="K782" i="7"/>
  <c r="Q232" i="1"/>
  <c r="N120" i="7"/>
  <c r="P120" i="7" s="1"/>
  <c r="N119" i="7"/>
  <c r="N117" i="7" s="1"/>
  <c r="Q173" i="7"/>
  <c r="N285" i="7"/>
  <c r="N284" i="7"/>
  <c r="N282" i="7" s="1"/>
  <c r="N335" i="7"/>
  <c r="N333" i="7" s="1"/>
  <c r="O338" i="7"/>
  <c r="L377" i="7"/>
  <c r="L378" i="7"/>
  <c r="O380" i="7"/>
  <c r="T415" i="7"/>
  <c r="Q413" i="7"/>
  <c r="T413" i="7" s="1"/>
  <c r="L419" i="7"/>
  <c r="O419" i="7" s="1"/>
  <c r="O421" i="7"/>
  <c r="L192" i="3"/>
  <c r="O192" i="3" s="1"/>
  <c r="S495" i="5"/>
  <c r="S493" i="5" s="1"/>
  <c r="K709" i="5"/>
  <c r="P47" i="6"/>
  <c r="Q160" i="6"/>
  <c r="T160" i="6" s="1"/>
  <c r="R175" i="6"/>
  <c r="U175" i="6" s="1"/>
  <c r="U178" i="6"/>
  <c r="S495" i="6"/>
  <c r="S493" i="6" s="1"/>
  <c r="O607" i="6"/>
  <c r="Q26" i="7"/>
  <c r="T26" i="7" s="1"/>
  <c r="N268" i="7"/>
  <c r="N266" i="7" s="1"/>
  <c r="N336" i="7"/>
  <c r="O336" i="7" s="1"/>
  <c r="O361" i="7"/>
  <c r="L358" i="7"/>
  <c r="L356" i="7" s="1"/>
  <c r="R222" i="1"/>
  <c r="Q692" i="3"/>
  <c r="Q690" i="3" s="1"/>
  <c r="J702" i="5"/>
  <c r="I689" i="5"/>
  <c r="I93" i="6"/>
  <c r="K93" i="6" s="1"/>
  <c r="S175" i="6"/>
  <c r="S173" i="6" s="1"/>
  <c r="Q619" i="6"/>
  <c r="Q618" i="6"/>
  <c r="Q616" i="6" s="1"/>
  <c r="T616" i="6" s="1"/>
  <c r="U99" i="7"/>
  <c r="R96" i="7"/>
  <c r="U96" i="7" s="1"/>
  <c r="M179" i="7"/>
  <c r="P179" i="7" s="1"/>
  <c r="P181" i="7"/>
  <c r="Q192" i="7"/>
  <c r="T192" i="7" s="1"/>
  <c r="Q188" i="7"/>
  <c r="T188" i="7" s="1"/>
  <c r="T194" i="7"/>
  <c r="K229" i="7"/>
  <c r="I221" i="7"/>
  <c r="K221" i="7" s="1"/>
  <c r="P308" i="7"/>
  <c r="M306" i="7"/>
  <c r="P306" i="7" s="1"/>
  <c r="M305" i="7"/>
  <c r="R416" i="7"/>
  <c r="U416" i="7" s="1"/>
  <c r="U418" i="7"/>
  <c r="R415" i="7"/>
  <c r="N495" i="7"/>
  <c r="N493" i="7" s="1"/>
  <c r="L65" i="6"/>
  <c r="O65" i="6" s="1"/>
  <c r="L561" i="6"/>
  <c r="O561" i="6" s="1"/>
  <c r="T695" i="6"/>
  <c r="Q692" i="6"/>
  <c r="T692" i="6" s="1"/>
  <c r="I302" i="7"/>
  <c r="K302" i="7" s="1"/>
  <c r="K314" i="7"/>
  <c r="L416" i="7"/>
  <c r="O416" i="7" s="1"/>
  <c r="O418" i="7"/>
  <c r="L415" i="7"/>
  <c r="J675" i="7"/>
  <c r="U695" i="7"/>
  <c r="R693" i="7"/>
  <c r="U693" i="7" s="1"/>
  <c r="R692" i="7"/>
  <c r="U692" i="7" s="1"/>
  <c r="S730" i="7"/>
  <c r="S728" i="7" s="1"/>
  <c r="U733" i="7"/>
  <c r="S731" i="7"/>
  <c r="T731" i="7" s="1"/>
  <c r="T733" i="7"/>
  <c r="S762" i="7"/>
  <c r="R145" i="5"/>
  <c r="U145" i="5" s="1"/>
  <c r="L540" i="5"/>
  <c r="O540" i="5" s="1"/>
  <c r="R693" i="5"/>
  <c r="U693" i="5" s="1"/>
  <c r="L142" i="6"/>
  <c r="O142" i="6" s="1"/>
  <c r="Q145" i="6"/>
  <c r="T145" i="6" s="1"/>
  <c r="N268" i="6"/>
  <c r="N266" i="6" s="1"/>
  <c r="T268" i="6"/>
  <c r="I492" i="6"/>
  <c r="K492" i="6" s="1"/>
  <c r="P311" i="7"/>
  <c r="M309" i="7"/>
  <c r="P309" i="7" s="1"/>
  <c r="R189" i="6"/>
  <c r="U189" i="6" s="1"/>
  <c r="M188" i="6"/>
  <c r="M186" i="6" s="1"/>
  <c r="S305" i="6"/>
  <c r="S303" i="6" s="1"/>
  <c r="S377" i="6"/>
  <c r="S375" i="6" s="1"/>
  <c r="T375" i="6" s="1"/>
  <c r="N415" i="6"/>
  <c r="N413" i="6" s="1"/>
  <c r="N23" i="7"/>
  <c r="N21" i="7" s="1"/>
  <c r="P49" i="7"/>
  <c r="N145" i="7"/>
  <c r="N141" i="7"/>
  <c r="N139" i="7" s="1"/>
  <c r="S160" i="7"/>
  <c r="S159" i="7"/>
  <c r="S157" i="7" s="1"/>
  <c r="L268" i="7"/>
  <c r="O271" i="7"/>
  <c r="L269" i="7"/>
  <c r="S305" i="7"/>
  <c r="S303" i="7" s="1"/>
  <c r="P560" i="7"/>
  <c r="M558" i="7"/>
  <c r="P558" i="7" s="1"/>
  <c r="M557" i="7"/>
  <c r="P557" i="7" s="1"/>
  <c r="S601" i="7"/>
  <c r="S599" i="7" s="1"/>
  <c r="I759" i="7"/>
  <c r="K759" i="7" s="1"/>
  <c r="K774" i="7"/>
  <c r="M74" i="7"/>
  <c r="M119" i="7"/>
  <c r="M117" i="7" s="1"/>
  <c r="L120" i="7"/>
  <c r="O120" i="7" s="1"/>
  <c r="P122" i="7"/>
  <c r="I136" i="7"/>
  <c r="K136" i="7" s="1"/>
  <c r="L145" i="7"/>
  <c r="O145" i="7" s="1"/>
  <c r="K172" i="7"/>
  <c r="M323" i="7"/>
  <c r="P323" i="7" s="1"/>
  <c r="J332" i="7"/>
  <c r="K332" i="7" s="1"/>
  <c r="P361" i="7"/>
  <c r="I374" i="7"/>
  <c r="K386" i="7"/>
  <c r="K423" i="7"/>
  <c r="N496" i="7"/>
  <c r="M578" i="7"/>
  <c r="M601" i="7"/>
  <c r="S602" i="7"/>
  <c r="K629" i="7"/>
  <c r="U765" i="7"/>
  <c r="K781" i="7"/>
  <c r="K365" i="7"/>
  <c r="J374" i="7"/>
  <c r="J702" i="7"/>
  <c r="S26" i="7"/>
  <c r="S24" i="7" s="1"/>
  <c r="P65" i="7"/>
  <c r="S78" i="7"/>
  <c r="Q120" i="7"/>
  <c r="T120" i="7" s="1"/>
  <c r="Q145" i="7"/>
  <c r="T145" i="7" s="1"/>
  <c r="M188" i="7"/>
  <c r="M186" i="7" s="1"/>
  <c r="L203" i="7"/>
  <c r="O203" i="7" s="1"/>
  <c r="L222" i="7"/>
  <c r="O222" i="7" s="1"/>
  <c r="K249" i="7"/>
  <c r="N415" i="7"/>
  <c r="N413" i="7" s="1"/>
  <c r="J674" i="7"/>
  <c r="I689" i="7"/>
  <c r="K689" i="7" s="1"/>
  <c r="M23" i="7"/>
  <c r="M21" i="7" s="1"/>
  <c r="L62" i="7"/>
  <c r="O62" i="7" s="1"/>
  <c r="R74" i="7"/>
  <c r="P99" i="7"/>
  <c r="P102" i="7"/>
  <c r="K109" i="7"/>
  <c r="Q119" i="7"/>
  <c r="R120" i="7"/>
  <c r="U120" i="7" s="1"/>
  <c r="P125" i="7"/>
  <c r="Q142" i="7"/>
  <c r="T142" i="7" s="1"/>
  <c r="R145" i="7"/>
  <c r="U145" i="7" s="1"/>
  <c r="R189" i="7"/>
  <c r="U189" i="7" s="1"/>
  <c r="U191" i="7"/>
  <c r="I238" i="7"/>
  <c r="K238" i="7" s="1"/>
  <c r="K260" i="7"/>
  <c r="N269" i="7"/>
  <c r="K440" i="7"/>
  <c r="L515" i="7"/>
  <c r="L516" i="7"/>
  <c r="O516" i="7" s="1"/>
  <c r="M536" i="7"/>
  <c r="M582" i="7"/>
  <c r="P582" i="7" s="1"/>
  <c r="U647" i="7"/>
  <c r="T765" i="7"/>
  <c r="S601" i="6"/>
  <c r="S599" i="6" s="1"/>
  <c r="N61" i="7"/>
  <c r="M78" i="7"/>
  <c r="P78" i="7" s="1"/>
  <c r="I82" i="7"/>
  <c r="K82" i="7" s="1"/>
  <c r="M96" i="7"/>
  <c r="P96" i="7" s="1"/>
  <c r="Q141" i="7"/>
  <c r="T141" i="7" s="1"/>
  <c r="N176" i="7"/>
  <c r="P176" i="7" s="1"/>
  <c r="L234" i="7"/>
  <c r="P341" i="7"/>
  <c r="K346" i="7"/>
  <c r="Q495" i="7"/>
  <c r="T495" i="7" s="1"/>
  <c r="M516" i="7"/>
  <c r="P516" i="7" s="1"/>
  <c r="K785" i="7"/>
  <c r="T19" i="7"/>
  <c r="U19" i="7"/>
  <c r="U176" i="5"/>
  <c r="L23" i="7"/>
  <c r="O49" i="7"/>
  <c r="P52" i="7"/>
  <c r="M46" i="7"/>
  <c r="P140" i="7"/>
  <c r="M145" i="7"/>
  <c r="P145" i="7" s="1"/>
  <c r="P147" i="7"/>
  <c r="O158" i="7"/>
  <c r="L160" i="7"/>
  <c r="O160" i="7" s="1"/>
  <c r="O162" i="7"/>
  <c r="L163" i="7"/>
  <c r="O163" i="7" s="1"/>
  <c r="O165" i="7"/>
  <c r="O174" i="7"/>
  <c r="S96" i="4"/>
  <c r="S94" i="4" s="1"/>
  <c r="T122" i="5"/>
  <c r="R175" i="5"/>
  <c r="R173" i="5" s="1"/>
  <c r="Q78" i="6"/>
  <c r="T78" i="6" s="1"/>
  <c r="P176" i="6"/>
  <c r="N175" i="6"/>
  <c r="N173" i="6" s="1"/>
  <c r="I253" i="6"/>
  <c r="K253" i="6" s="1"/>
  <c r="N305" i="6"/>
  <c r="N303" i="6" s="1"/>
  <c r="U380" i="6"/>
  <c r="Q394" i="6"/>
  <c r="T394" i="6" s="1"/>
  <c r="I423" i="6"/>
  <c r="I412" i="6" s="1"/>
  <c r="K412" i="6" s="1"/>
  <c r="K457" i="6"/>
  <c r="M499" i="6"/>
  <c r="P499" i="6" s="1"/>
  <c r="M561" i="6"/>
  <c r="P561" i="6" s="1"/>
  <c r="S602" i="6"/>
  <c r="M605" i="6"/>
  <c r="P605" i="6" s="1"/>
  <c r="M19" i="7"/>
  <c r="N50" i="7"/>
  <c r="N26" i="7"/>
  <c r="N24" i="7" s="1"/>
  <c r="O67" i="7"/>
  <c r="L74" i="7"/>
  <c r="O74" i="7" s="1"/>
  <c r="R23" i="7"/>
  <c r="R21" i="7" s="1"/>
  <c r="U77" i="7"/>
  <c r="L96" i="7"/>
  <c r="R97" i="7"/>
  <c r="U97" i="7" s="1"/>
  <c r="O123" i="7"/>
  <c r="S141" i="7"/>
  <c r="S139" i="7" s="1"/>
  <c r="M142" i="7"/>
  <c r="P142" i="7" s="1"/>
  <c r="P144" i="7"/>
  <c r="N189" i="7"/>
  <c r="O191" i="7"/>
  <c r="P191" i="7"/>
  <c r="Q282" i="7"/>
  <c r="T282" i="7" s="1"/>
  <c r="T284" i="7"/>
  <c r="R303" i="7"/>
  <c r="U304" i="7"/>
  <c r="I374" i="4"/>
  <c r="R416" i="5"/>
  <c r="L582" i="5"/>
  <c r="O582" i="5" s="1"/>
  <c r="K781" i="5"/>
  <c r="N26" i="6"/>
  <c r="N24" i="6" s="1"/>
  <c r="N23" i="6"/>
  <c r="N21" i="6" s="1"/>
  <c r="Q119" i="6"/>
  <c r="Q117" i="6" s="1"/>
  <c r="O178" i="6"/>
  <c r="M323" i="6"/>
  <c r="P323" i="6" s="1"/>
  <c r="K778" i="6"/>
  <c r="Q23" i="7"/>
  <c r="R26" i="7"/>
  <c r="U80" i="7"/>
  <c r="M141" i="7"/>
  <c r="P141" i="7" s="1"/>
  <c r="L159" i="7"/>
  <c r="O159" i="7" s="1"/>
  <c r="R377" i="3"/>
  <c r="R375" i="3" s="1"/>
  <c r="Q97" i="6"/>
  <c r="T97" i="6" s="1"/>
  <c r="L96" i="6"/>
  <c r="L100" i="6"/>
  <c r="O100" i="6" s="1"/>
  <c r="Q306" i="6"/>
  <c r="T306" i="6" s="1"/>
  <c r="O311" i="6"/>
  <c r="M322" i="6"/>
  <c r="P322" i="6" s="1"/>
  <c r="Q378" i="6"/>
  <c r="T378" i="6" s="1"/>
  <c r="O19" i="7"/>
  <c r="U22" i="7"/>
  <c r="S23" i="7"/>
  <c r="M26" i="7"/>
  <c r="R59" i="7"/>
  <c r="U59" i="7" s="1"/>
  <c r="O60" i="7"/>
  <c r="T77" i="7"/>
  <c r="L26" i="7"/>
  <c r="O80" i="7"/>
  <c r="R176" i="7"/>
  <c r="U176" i="7" s="1"/>
  <c r="U178" i="7"/>
  <c r="P290" i="7"/>
  <c r="M284" i="7"/>
  <c r="M288" i="7"/>
  <c r="P288" i="7" s="1"/>
  <c r="O556" i="7"/>
  <c r="I238" i="5"/>
  <c r="K238" i="5" s="1"/>
  <c r="R97" i="6"/>
  <c r="U97" i="6" s="1"/>
  <c r="L222" i="6"/>
  <c r="O222" i="6" s="1"/>
  <c r="R306" i="6"/>
  <c r="U306" i="6" s="1"/>
  <c r="M326" i="6"/>
  <c r="P326" i="6" s="1"/>
  <c r="M415" i="6"/>
  <c r="M413" i="6" s="1"/>
  <c r="M419" i="6"/>
  <c r="P419" i="6" s="1"/>
  <c r="L601" i="6"/>
  <c r="L599" i="6" s="1"/>
  <c r="Q693" i="6"/>
  <c r="T693" i="6" s="1"/>
  <c r="O22" i="7"/>
  <c r="R44" i="7"/>
  <c r="U44" i="7" s="1"/>
  <c r="T61" i="7"/>
  <c r="L78" i="7"/>
  <c r="O78" i="7" s="1"/>
  <c r="T80" i="7"/>
  <c r="K84" i="7"/>
  <c r="R119" i="7"/>
  <c r="N159" i="7"/>
  <c r="N157" i="7" s="1"/>
  <c r="N175" i="7"/>
  <c r="L179" i="7"/>
  <c r="O179" i="7" s="1"/>
  <c r="O181" i="7"/>
  <c r="N188" i="7"/>
  <c r="N186" i="7" s="1"/>
  <c r="K253" i="7"/>
  <c r="I231" i="7"/>
  <c r="S269" i="7"/>
  <c r="U269" i="7" s="1"/>
  <c r="T271" i="7"/>
  <c r="S268" i="7"/>
  <c r="S266" i="7" s="1"/>
  <c r="U271" i="7"/>
  <c r="Q375" i="7"/>
  <c r="Q78" i="1"/>
  <c r="T78" i="1" s="1"/>
  <c r="R74" i="5"/>
  <c r="U74" i="5" s="1"/>
  <c r="R160" i="6"/>
  <c r="U160" i="6" s="1"/>
  <c r="M268" i="6"/>
  <c r="M601" i="6"/>
  <c r="M599" i="6" s="1"/>
  <c r="L46" i="7"/>
  <c r="T46" i="7"/>
  <c r="O64" i="7"/>
  <c r="P67" i="7"/>
  <c r="M61" i="7"/>
  <c r="Q74" i="7"/>
  <c r="K85" i="7"/>
  <c r="I83" i="7"/>
  <c r="R123" i="7"/>
  <c r="U123" i="7" s="1"/>
  <c r="O125" i="7"/>
  <c r="U158" i="7"/>
  <c r="R157" i="7"/>
  <c r="U157" i="7" s="1"/>
  <c r="R160" i="7"/>
  <c r="U160" i="7" s="1"/>
  <c r="U162" i="7"/>
  <c r="U174" i="7"/>
  <c r="R173" i="7"/>
  <c r="L176" i="7"/>
  <c r="O178" i="7"/>
  <c r="U187" i="7"/>
  <c r="M269" i="7"/>
  <c r="M268" i="7"/>
  <c r="P271" i="7"/>
  <c r="I456" i="7"/>
  <c r="K456" i="7" s="1"/>
  <c r="K457" i="7"/>
  <c r="I116" i="7"/>
  <c r="K116" i="7" s="1"/>
  <c r="I265" i="7"/>
  <c r="K265" i="7" s="1"/>
  <c r="U283" i="7"/>
  <c r="T308" i="7"/>
  <c r="L323" i="7"/>
  <c r="O323" i="7" s="1"/>
  <c r="O325" i="7"/>
  <c r="P334" i="7"/>
  <c r="P359" i="7"/>
  <c r="U397" i="7"/>
  <c r="R394" i="7"/>
  <c r="R395" i="7"/>
  <c r="U395" i="7" s="1"/>
  <c r="U617" i="7"/>
  <c r="T643" i="7"/>
  <c r="M336" i="7"/>
  <c r="P338" i="7"/>
  <c r="S378" i="7"/>
  <c r="U378" i="7" s="1"/>
  <c r="U380" i="7"/>
  <c r="T380" i="7"/>
  <c r="M381" i="7"/>
  <c r="P381" i="7" s="1"/>
  <c r="P383" i="7"/>
  <c r="P414" i="7"/>
  <c r="R576" i="7"/>
  <c r="U576" i="7" s="1"/>
  <c r="U578" i="7"/>
  <c r="N582" i="7"/>
  <c r="N578" i="7"/>
  <c r="N576" i="7" s="1"/>
  <c r="Q305" i="7"/>
  <c r="U321" i="7"/>
  <c r="R320" i="7"/>
  <c r="U320" i="7" s="1"/>
  <c r="T357" i="7"/>
  <c r="Q356" i="7"/>
  <c r="T356" i="7" s="1"/>
  <c r="S377" i="7"/>
  <c r="S375" i="7" s="1"/>
  <c r="U375" i="7" s="1"/>
  <c r="M378" i="7"/>
  <c r="P380" i="7"/>
  <c r="Q605" i="7"/>
  <c r="T605" i="7" s="1"/>
  <c r="T607" i="7"/>
  <c r="Q601" i="7"/>
  <c r="P267" i="7"/>
  <c r="O321" i="7"/>
  <c r="K371" i="7"/>
  <c r="P376" i="7"/>
  <c r="M377" i="7"/>
  <c r="P393" i="7"/>
  <c r="M392" i="7"/>
  <c r="P392" i="7" s="1"/>
  <c r="L561" i="7"/>
  <c r="O561" i="7" s="1"/>
  <c r="O563" i="7"/>
  <c r="L557" i="7"/>
  <c r="O557" i="7" s="1"/>
  <c r="T191" i="7"/>
  <c r="I202" i="7"/>
  <c r="K202" i="7" s="1"/>
  <c r="K209" i="7"/>
  <c r="L235" i="7"/>
  <c r="P274" i="7"/>
  <c r="K292" i="7"/>
  <c r="L322" i="7"/>
  <c r="O322" i="7" s="1"/>
  <c r="O341" i="7"/>
  <c r="L335" i="7"/>
  <c r="N362" i="7"/>
  <c r="N358" i="7"/>
  <c r="N356" i="7" s="1"/>
  <c r="S495" i="7"/>
  <c r="S493" i="7" s="1"/>
  <c r="Q513" i="7"/>
  <c r="T513" i="7" s="1"/>
  <c r="T515" i="7"/>
  <c r="P556" i="7"/>
  <c r="N557" i="7"/>
  <c r="N555" i="7" s="1"/>
  <c r="L579" i="7"/>
  <c r="O579" i="7" s="1"/>
  <c r="O581" i="7"/>
  <c r="L602" i="7"/>
  <c r="O602" i="7" s="1"/>
  <c r="O604" i="7"/>
  <c r="R605" i="7"/>
  <c r="U605" i="7" s="1"/>
  <c r="U607" i="7"/>
  <c r="U643" i="7"/>
  <c r="T691" i="7"/>
  <c r="K703" i="7"/>
  <c r="I701" i="7"/>
  <c r="K701" i="7" s="1"/>
  <c r="T761" i="7"/>
  <c r="R496" i="7"/>
  <c r="U496" i="7" s="1"/>
  <c r="U498" i="7"/>
  <c r="O617" i="7"/>
  <c r="L616" i="7"/>
  <c r="O616" i="7" s="1"/>
  <c r="O643" i="7"/>
  <c r="L642" i="7"/>
  <c r="O642" i="7" s="1"/>
  <c r="U691" i="7"/>
  <c r="L499" i="7"/>
  <c r="O499" i="7" s="1"/>
  <c r="O501" i="7"/>
  <c r="J503" i="7"/>
  <c r="J492" i="7" s="1"/>
  <c r="Q534" i="7"/>
  <c r="T534" i="7" s="1"/>
  <c r="T536" i="7"/>
  <c r="N540" i="7"/>
  <c r="N536" i="7"/>
  <c r="N534" i="7" s="1"/>
  <c r="L605" i="7"/>
  <c r="O605" i="7" s="1"/>
  <c r="O607" i="7"/>
  <c r="P617" i="7"/>
  <c r="M616" i="7"/>
  <c r="P616" i="7" s="1"/>
  <c r="T621" i="7"/>
  <c r="Q618" i="7"/>
  <c r="Q714" i="7"/>
  <c r="T714" i="7" s="1"/>
  <c r="T716" i="7"/>
  <c r="T494" i="7"/>
  <c r="L496" i="7"/>
  <c r="O496" i="7" s="1"/>
  <c r="O498" i="7"/>
  <c r="M499" i="7"/>
  <c r="P499" i="7" s="1"/>
  <c r="P501" i="7"/>
  <c r="M519" i="7"/>
  <c r="P519" i="7" s="1"/>
  <c r="P521" i="7"/>
  <c r="M515" i="7"/>
  <c r="R534" i="7"/>
  <c r="U534" i="7" s="1"/>
  <c r="U536" i="7"/>
  <c r="L537" i="7"/>
  <c r="O537" i="7" s="1"/>
  <c r="O539" i="7"/>
  <c r="U556" i="7"/>
  <c r="R555" i="7"/>
  <c r="U555" i="7" s="1"/>
  <c r="Q602" i="7"/>
  <c r="T602" i="7" s="1"/>
  <c r="T604" i="7"/>
  <c r="U621" i="7"/>
  <c r="R618" i="7"/>
  <c r="R619" i="7"/>
  <c r="M642" i="7"/>
  <c r="P642" i="7" s="1"/>
  <c r="P644" i="7"/>
  <c r="T647" i="7"/>
  <c r="Q644" i="7"/>
  <c r="T644" i="7" s="1"/>
  <c r="Q645" i="7"/>
  <c r="O691" i="7"/>
  <c r="L690" i="7"/>
  <c r="O690" i="7" s="1"/>
  <c r="R493" i="7"/>
  <c r="U493" i="7" s="1"/>
  <c r="M496" i="7"/>
  <c r="P496" i="7" s="1"/>
  <c r="P498" i="7"/>
  <c r="N519" i="7"/>
  <c r="N515" i="7"/>
  <c r="N513" i="7" s="1"/>
  <c r="Q576" i="7"/>
  <c r="T576" i="7" s="1"/>
  <c r="T578" i="7"/>
  <c r="L601" i="7"/>
  <c r="O601" i="7" s="1"/>
  <c r="R602" i="7"/>
  <c r="U602" i="7" s="1"/>
  <c r="U604" i="7"/>
  <c r="M690" i="7"/>
  <c r="P690" i="7" s="1"/>
  <c r="P692" i="7"/>
  <c r="T695" i="7"/>
  <c r="Q692" i="7"/>
  <c r="T692" i="7" s="1"/>
  <c r="Q693" i="7"/>
  <c r="T693" i="7" s="1"/>
  <c r="T498" i="7"/>
  <c r="K631" i="7"/>
  <c r="S645" i="7"/>
  <c r="U645" i="7" s="1"/>
  <c r="I758" i="7"/>
  <c r="K758" i="7" s="1"/>
  <c r="L760" i="7"/>
  <c r="O760" i="7" s="1"/>
  <c r="K371" i="6"/>
  <c r="I365" i="6"/>
  <c r="K365" i="6" s="1"/>
  <c r="O421" i="6"/>
  <c r="L419" i="6"/>
  <c r="O419" i="6" s="1"/>
  <c r="O581" i="6"/>
  <c r="L579" i="6"/>
  <c r="O579" i="6" s="1"/>
  <c r="Q644" i="6"/>
  <c r="T644" i="6" s="1"/>
  <c r="Q645" i="6"/>
  <c r="T645" i="6" s="1"/>
  <c r="T647" i="6"/>
  <c r="R119" i="2"/>
  <c r="R117" i="2" s="1"/>
  <c r="P142" i="5"/>
  <c r="S160" i="5"/>
  <c r="T305" i="5"/>
  <c r="R378" i="5"/>
  <c r="U378" i="5" s="1"/>
  <c r="P560" i="5"/>
  <c r="J675" i="5"/>
  <c r="N74" i="6"/>
  <c r="N72" i="6" s="1"/>
  <c r="I116" i="6"/>
  <c r="K116" i="6" s="1"/>
  <c r="U125" i="6"/>
  <c r="N142" i="6"/>
  <c r="Q159" i="6"/>
  <c r="T159" i="6" s="1"/>
  <c r="K169" i="6"/>
  <c r="P178" i="6"/>
  <c r="K229" i="6"/>
  <c r="L415" i="6"/>
  <c r="L413" i="6" s="1"/>
  <c r="S416" i="6"/>
  <c r="S415" i="6"/>
  <c r="S413" i="6" s="1"/>
  <c r="M496" i="6"/>
  <c r="P496" i="6" s="1"/>
  <c r="P498" i="6"/>
  <c r="U607" i="6"/>
  <c r="R605" i="6"/>
  <c r="U605" i="6" s="1"/>
  <c r="K780" i="6"/>
  <c r="K371" i="5"/>
  <c r="K784" i="5"/>
  <c r="S119" i="6"/>
  <c r="S117" i="6" s="1"/>
  <c r="P162" i="6"/>
  <c r="O176" i="6"/>
  <c r="R188" i="6"/>
  <c r="R186" i="6" s="1"/>
  <c r="U186" i="6" s="1"/>
  <c r="O308" i="6"/>
  <c r="L305" i="6"/>
  <c r="Q605" i="6"/>
  <c r="T605" i="6" s="1"/>
  <c r="K709" i="6"/>
  <c r="I689" i="6"/>
  <c r="K689" i="6" s="1"/>
  <c r="U765" i="6"/>
  <c r="R763" i="6"/>
  <c r="U763" i="6" s="1"/>
  <c r="N203" i="1"/>
  <c r="Q268" i="4"/>
  <c r="T268" i="4" s="1"/>
  <c r="O178" i="5"/>
  <c r="M578" i="5"/>
  <c r="M576" i="5" s="1"/>
  <c r="O62" i="6"/>
  <c r="N61" i="6"/>
  <c r="N59" i="6" s="1"/>
  <c r="N188" i="6"/>
  <c r="N186" i="6" s="1"/>
  <c r="L381" i="6"/>
  <c r="O381" i="6" s="1"/>
  <c r="R394" i="6"/>
  <c r="U394" i="6" s="1"/>
  <c r="R395" i="6"/>
  <c r="U395" i="6" s="1"/>
  <c r="U397" i="6"/>
  <c r="P542" i="6"/>
  <c r="M540" i="6"/>
  <c r="P540" i="6" s="1"/>
  <c r="P584" i="6"/>
  <c r="M582" i="6"/>
  <c r="P582" i="6" s="1"/>
  <c r="R618" i="6"/>
  <c r="R616" i="6" s="1"/>
  <c r="U616" i="6" s="1"/>
  <c r="R619" i="6"/>
  <c r="Q268" i="3"/>
  <c r="Q266" i="3" s="1"/>
  <c r="Q97" i="5"/>
  <c r="T97" i="5" s="1"/>
  <c r="P125" i="5"/>
  <c r="Q269" i="5"/>
  <c r="P287" i="5"/>
  <c r="R495" i="5"/>
  <c r="U495" i="5" s="1"/>
  <c r="M536" i="5"/>
  <c r="M534" i="5" s="1"/>
  <c r="P534" i="5" s="1"/>
  <c r="Q601" i="5"/>
  <c r="Q599" i="5" s="1"/>
  <c r="T599" i="5" s="1"/>
  <c r="J674" i="5"/>
  <c r="P62" i="6"/>
  <c r="I83" i="6"/>
  <c r="K83" i="6" s="1"/>
  <c r="Q120" i="6"/>
  <c r="I138" i="6"/>
  <c r="K138" i="6" s="1"/>
  <c r="L214" i="6"/>
  <c r="O214" i="6" s="1"/>
  <c r="L284" i="6"/>
  <c r="O284" i="6" s="1"/>
  <c r="M381" i="6"/>
  <c r="P381" i="6" s="1"/>
  <c r="M495" i="6"/>
  <c r="P495" i="6" s="1"/>
  <c r="L61" i="1"/>
  <c r="O61" i="1" s="1"/>
  <c r="K778" i="4"/>
  <c r="Q23" i="6"/>
  <c r="Q21" i="6" s="1"/>
  <c r="M75" i="6"/>
  <c r="P75" i="6" s="1"/>
  <c r="S26" i="6"/>
  <c r="S24" i="6" s="1"/>
  <c r="J332" i="6"/>
  <c r="K332" i="6" s="1"/>
  <c r="J675" i="6"/>
  <c r="J374" i="6"/>
  <c r="N358" i="6"/>
  <c r="N356" i="6" s="1"/>
  <c r="L323" i="6"/>
  <c r="O323" i="6" s="1"/>
  <c r="L362" i="6"/>
  <c r="O362" i="6" s="1"/>
  <c r="T380" i="6"/>
  <c r="T418" i="6"/>
  <c r="Q496" i="6"/>
  <c r="T496" i="6" s="1"/>
  <c r="L537" i="6"/>
  <c r="O537" i="6" s="1"/>
  <c r="P64" i="3"/>
  <c r="J675" i="3"/>
  <c r="K369" i="4"/>
  <c r="L233" i="5"/>
  <c r="K252" i="5"/>
  <c r="P271" i="5"/>
  <c r="L75" i="5"/>
  <c r="O75" i="5" s="1"/>
  <c r="S74" i="5"/>
  <c r="S72" i="5" s="1"/>
  <c r="I195" i="5"/>
  <c r="K195" i="5" s="1"/>
  <c r="I240" i="5"/>
  <c r="K240" i="5" s="1"/>
  <c r="I253" i="5"/>
  <c r="K253" i="5" s="1"/>
  <c r="L323" i="4"/>
  <c r="O323" i="4" s="1"/>
  <c r="R75" i="5"/>
  <c r="U75" i="5" s="1"/>
  <c r="L176" i="5"/>
  <c r="O176" i="5" s="1"/>
  <c r="S188" i="5"/>
  <c r="S186" i="5" s="1"/>
  <c r="M309" i="5"/>
  <c r="P309" i="5" s="1"/>
  <c r="R303" i="6"/>
  <c r="U303" i="6" s="1"/>
  <c r="U305" i="6"/>
  <c r="M74" i="5"/>
  <c r="P74" i="5" s="1"/>
  <c r="K169" i="5"/>
  <c r="L203" i="5"/>
  <c r="O203" i="5" s="1"/>
  <c r="K209" i="5"/>
  <c r="O271" i="5"/>
  <c r="Q306" i="5"/>
  <c r="S499" i="1"/>
  <c r="L120" i="5"/>
  <c r="O120" i="5" s="1"/>
  <c r="R160" i="5"/>
  <c r="U160" i="5" s="1"/>
  <c r="R269" i="5"/>
  <c r="O328" i="5"/>
  <c r="L326" i="5"/>
  <c r="O326" i="5" s="1"/>
  <c r="L234" i="6"/>
  <c r="J343" i="6"/>
  <c r="N536" i="6"/>
  <c r="N534" i="6" s="1"/>
  <c r="Q602" i="6"/>
  <c r="T602" i="6" s="1"/>
  <c r="I615" i="6"/>
  <c r="K615" i="6" s="1"/>
  <c r="K632" i="6"/>
  <c r="K785" i="6"/>
  <c r="M339" i="5"/>
  <c r="P339" i="5" s="1"/>
  <c r="J374" i="5"/>
  <c r="U418" i="5"/>
  <c r="M46" i="6"/>
  <c r="M44" i="6" s="1"/>
  <c r="L47" i="6"/>
  <c r="O47" i="6" s="1"/>
  <c r="N75" i="6"/>
  <c r="I82" i="6"/>
  <c r="K85" i="6"/>
  <c r="M100" i="6"/>
  <c r="P100" i="6" s="1"/>
  <c r="S120" i="6"/>
  <c r="U120" i="6" s="1"/>
  <c r="T122" i="6"/>
  <c r="P165" i="6"/>
  <c r="K198" i="6"/>
  <c r="L235" i="6"/>
  <c r="T271" i="6"/>
  <c r="L306" i="6"/>
  <c r="O306" i="6" s="1"/>
  <c r="K330" i="6"/>
  <c r="N362" i="6"/>
  <c r="M377" i="6"/>
  <c r="P377" i="6" s="1"/>
  <c r="M378" i="6"/>
  <c r="P378" i="6" s="1"/>
  <c r="K424" i="6"/>
  <c r="M515" i="6"/>
  <c r="P515" i="6" s="1"/>
  <c r="M519" i="6"/>
  <c r="P519" i="6" s="1"/>
  <c r="M557" i="6"/>
  <c r="P557" i="6" s="1"/>
  <c r="M558" i="6"/>
  <c r="P558" i="6" s="1"/>
  <c r="N578" i="6"/>
  <c r="N576" i="6" s="1"/>
  <c r="R602" i="6"/>
  <c r="U602" i="6" s="1"/>
  <c r="S644" i="6"/>
  <c r="S642" i="6" s="1"/>
  <c r="S692" i="6"/>
  <c r="S690" i="6" s="1"/>
  <c r="K774" i="6"/>
  <c r="K783" i="6"/>
  <c r="Q75" i="6"/>
  <c r="T75" i="6" s="1"/>
  <c r="S74" i="6"/>
  <c r="S72" i="6" s="1"/>
  <c r="L97" i="6"/>
  <c r="P99" i="6"/>
  <c r="L119" i="6"/>
  <c r="O119" i="6" s="1"/>
  <c r="U122" i="6"/>
  <c r="O125" i="6"/>
  <c r="Q142" i="6"/>
  <c r="T142" i="6" s="1"/>
  <c r="T144" i="6"/>
  <c r="L160" i="6"/>
  <c r="O160" i="6" s="1"/>
  <c r="Q175" i="6"/>
  <c r="T175" i="6" s="1"/>
  <c r="Q176" i="6"/>
  <c r="T176" i="6" s="1"/>
  <c r="Q192" i="6"/>
  <c r="T192" i="6" s="1"/>
  <c r="S269" i="6"/>
  <c r="U269" i="6" s="1"/>
  <c r="L272" i="6"/>
  <c r="O272" i="6" s="1"/>
  <c r="L288" i="6"/>
  <c r="O288" i="6" s="1"/>
  <c r="O290" i="6"/>
  <c r="M306" i="6"/>
  <c r="P306" i="6" s="1"/>
  <c r="U308" i="6"/>
  <c r="P359" i="6"/>
  <c r="P361" i="6"/>
  <c r="N377" i="6"/>
  <c r="N375" i="6" s="1"/>
  <c r="N557" i="6"/>
  <c r="N555" i="6" s="1"/>
  <c r="R601" i="6"/>
  <c r="U601" i="6" s="1"/>
  <c r="I758" i="6"/>
  <c r="K758" i="6" s="1"/>
  <c r="K781" i="6"/>
  <c r="L74" i="6"/>
  <c r="O74" i="6" s="1"/>
  <c r="L78" i="6"/>
  <c r="O78" i="6" s="1"/>
  <c r="O122" i="6"/>
  <c r="M123" i="6"/>
  <c r="P123" i="6" s="1"/>
  <c r="L141" i="6"/>
  <c r="O141" i="6" s="1"/>
  <c r="R142" i="6"/>
  <c r="U142" i="6" s="1"/>
  <c r="L145" i="6"/>
  <c r="O145" i="6" s="1"/>
  <c r="N159" i="6"/>
  <c r="N157" i="6" s="1"/>
  <c r="L203" i="6"/>
  <c r="O203" i="6" s="1"/>
  <c r="K209" i="6"/>
  <c r="I238" i="6"/>
  <c r="K238" i="6" s="1"/>
  <c r="M272" i="6"/>
  <c r="P272" i="6" s="1"/>
  <c r="P290" i="6"/>
  <c r="Q305" i="6"/>
  <c r="T305" i="6" s="1"/>
  <c r="O341" i="6"/>
  <c r="K346" i="6"/>
  <c r="J503" i="6"/>
  <c r="J492" i="6" s="1"/>
  <c r="N515" i="6"/>
  <c r="N513" i="6" s="1"/>
  <c r="J689" i="6"/>
  <c r="K779" i="6"/>
  <c r="U380" i="5"/>
  <c r="T498" i="5"/>
  <c r="M78" i="6"/>
  <c r="P78" i="6" s="1"/>
  <c r="I92" i="6"/>
  <c r="K92" i="6" s="1"/>
  <c r="M284" i="6"/>
  <c r="L499" i="6"/>
  <c r="O499" i="6" s="1"/>
  <c r="P518" i="6"/>
  <c r="K629" i="6"/>
  <c r="S266" i="6"/>
  <c r="T266" i="6" s="1"/>
  <c r="K631" i="6"/>
  <c r="O52" i="6"/>
  <c r="L46" i="6"/>
  <c r="U77" i="6"/>
  <c r="R74" i="6"/>
  <c r="U99" i="6"/>
  <c r="S96" i="6"/>
  <c r="U96" i="6" s="1"/>
  <c r="P140" i="6"/>
  <c r="M179" i="6"/>
  <c r="P179" i="6" s="1"/>
  <c r="P181" i="6"/>
  <c r="M175" i="6"/>
  <c r="T283" i="6"/>
  <c r="Q282" i="6"/>
  <c r="T282" i="6" s="1"/>
  <c r="K314" i="6"/>
  <c r="I302" i="6"/>
  <c r="K302" i="6" s="1"/>
  <c r="N495" i="6"/>
  <c r="N493" i="6" s="1"/>
  <c r="N496" i="6"/>
  <c r="M760" i="6"/>
  <c r="P760" i="6" s="1"/>
  <c r="P761" i="6"/>
  <c r="L119" i="4"/>
  <c r="O119" i="4" s="1"/>
  <c r="M601" i="4"/>
  <c r="P601" i="4" s="1"/>
  <c r="M75" i="5"/>
  <c r="P75" i="5" s="1"/>
  <c r="U122" i="5"/>
  <c r="P269" i="5"/>
  <c r="K292" i="5"/>
  <c r="S306" i="5"/>
  <c r="N335" i="5"/>
  <c r="N333" i="5" s="1"/>
  <c r="O336" i="5"/>
  <c r="O338" i="5"/>
  <c r="M419" i="5"/>
  <c r="P419" i="5" s="1"/>
  <c r="M582" i="5"/>
  <c r="P582" i="5" s="1"/>
  <c r="U733" i="5"/>
  <c r="S762" i="5"/>
  <c r="S760" i="5" s="1"/>
  <c r="N46" i="6"/>
  <c r="P49" i="6"/>
  <c r="P64" i="6"/>
  <c r="M61" i="6"/>
  <c r="P65" i="6"/>
  <c r="S78" i="6"/>
  <c r="M96" i="6"/>
  <c r="T99" i="6"/>
  <c r="R119" i="6"/>
  <c r="S142" i="6"/>
  <c r="S141" i="6"/>
  <c r="S139" i="6" s="1"/>
  <c r="R192" i="6"/>
  <c r="U192" i="6" s="1"/>
  <c r="O271" i="6"/>
  <c r="L269" i="6"/>
  <c r="P311" i="6"/>
  <c r="M305" i="6"/>
  <c r="O338" i="6"/>
  <c r="L336" i="6"/>
  <c r="P581" i="6"/>
  <c r="M579" i="6"/>
  <c r="P579" i="6" s="1"/>
  <c r="M578" i="6"/>
  <c r="P578" i="6" s="1"/>
  <c r="Q516" i="1"/>
  <c r="T516" i="1" s="1"/>
  <c r="N141" i="4"/>
  <c r="N139" i="4" s="1"/>
  <c r="Q26" i="5"/>
  <c r="Q24" i="5" s="1"/>
  <c r="T24" i="5" s="1"/>
  <c r="U80" i="5"/>
  <c r="I93" i="5"/>
  <c r="K93" i="5" s="1"/>
  <c r="M322" i="5"/>
  <c r="P322" i="5" s="1"/>
  <c r="P325" i="5"/>
  <c r="P359" i="5"/>
  <c r="P361" i="5"/>
  <c r="L601" i="5"/>
  <c r="L599" i="5" s="1"/>
  <c r="K785" i="5"/>
  <c r="N97" i="6"/>
  <c r="O99" i="6"/>
  <c r="P118" i="6"/>
  <c r="U118" i="6"/>
  <c r="M142" i="6"/>
  <c r="P142" i="6" s="1"/>
  <c r="M141" i="6"/>
  <c r="P141" i="6" s="1"/>
  <c r="O158" i="6"/>
  <c r="O191" i="6"/>
  <c r="L188" i="6"/>
  <c r="S188" i="6"/>
  <c r="S186" i="6" s="1"/>
  <c r="S189" i="6"/>
  <c r="L192" i="6"/>
  <c r="O192" i="6" s="1"/>
  <c r="O194" i="6"/>
  <c r="U194" i="6"/>
  <c r="U418" i="6"/>
  <c r="R416" i="6"/>
  <c r="R415" i="6"/>
  <c r="S535" i="1"/>
  <c r="J661" i="1"/>
  <c r="O165" i="5"/>
  <c r="L381" i="5"/>
  <c r="O381" i="5" s="1"/>
  <c r="N578" i="5"/>
  <c r="N576" i="5" s="1"/>
  <c r="S731" i="5"/>
  <c r="U731" i="5" s="1"/>
  <c r="Q26" i="6"/>
  <c r="Q24" i="6" s="1"/>
  <c r="T24" i="6" s="1"/>
  <c r="O64" i="6"/>
  <c r="P73" i="6"/>
  <c r="T73" i="6"/>
  <c r="Q74" i="6"/>
  <c r="T74" i="6" s="1"/>
  <c r="O77" i="6"/>
  <c r="U140" i="6"/>
  <c r="M145" i="6"/>
  <c r="P145" i="6" s="1"/>
  <c r="P147" i="6"/>
  <c r="S160" i="6"/>
  <c r="S159" i="6"/>
  <c r="S157" i="6" s="1"/>
  <c r="O414" i="6"/>
  <c r="T536" i="6"/>
  <c r="Q534" i="6"/>
  <c r="T534" i="6" s="1"/>
  <c r="N305" i="2"/>
  <c r="N303" i="2" s="1"/>
  <c r="M163" i="4"/>
  <c r="P163" i="4" s="1"/>
  <c r="Q188" i="4"/>
  <c r="Q186" i="4" s="1"/>
  <c r="L235" i="4"/>
  <c r="R120" i="5"/>
  <c r="U120" i="5" s="1"/>
  <c r="R159" i="5"/>
  <c r="U159" i="5" s="1"/>
  <c r="N159" i="5"/>
  <c r="N157" i="5" s="1"/>
  <c r="L188" i="5"/>
  <c r="L186" i="5" s="1"/>
  <c r="L192" i="5"/>
  <c r="O192" i="5" s="1"/>
  <c r="S269" i="5"/>
  <c r="U308" i="5"/>
  <c r="L519" i="5"/>
  <c r="O519" i="5" s="1"/>
  <c r="L537" i="5"/>
  <c r="O537" i="5" s="1"/>
  <c r="R644" i="5"/>
  <c r="U644" i="5" s="1"/>
  <c r="K780" i="5"/>
  <c r="L23" i="6"/>
  <c r="L21" i="6" s="1"/>
  <c r="R23" i="6"/>
  <c r="R21" i="6" s="1"/>
  <c r="L26" i="6"/>
  <c r="O26" i="6" s="1"/>
  <c r="R26" i="6"/>
  <c r="U26" i="6" s="1"/>
  <c r="L50" i="6"/>
  <c r="O50" i="6" s="1"/>
  <c r="R59" i="6"/>
  <c r="U59" i="6" s="1"/>
  <c r="P67" i="6"/>
  <c r="R75" i="6"/>
  <c r="U75" i="6" s="1"/>
  <c r="O118" i="6"/>
  <c r="N119" i="6"/>
  <c r="N117" i="6" s="1"/>
  <c r="Q123" i="6"/>
  <c r="T123" i="6" s="1"/>
  <c r="P144" i="6"/>
  <c r="U147" i="6"/>
  <c r="M159" i="6"/>
  <c r="P159" i="6" s="1"/>
  <c r="O174" i="6"/>
  <c r="K183" i="6"/>
  <c r="I172" i="6"/>
  <c r="K172" i="6" s="1"/>
  <c r="L189" i="6"/>
  <c r="O189" i="6" s="1"/>
  <c r="M192" i="6"/>
  <c r="P192" i="6" s="1"/>
  <c r="L268" i="6"/>
  <c r="T321" i="6"/>
  <c r="Q320" i="6"/>
  <c r="T320" i="6" s="1"/>
  <c r="P334" i="6"/>
  <c r="L335" i="6"/>
  <c r="L358" i="6"/>
  <c r="L359" i="6"/>
  <c r="O359" i="6" s="1"/>
  <c r="S394" i="6"/>
  <c r="S392" i="6" s="1"/>
  <c r="S395" i="6"/>
  <c r="S232" i="1"/>
  <c r="P77" i="5"/>
  <c r="P102" i="5"/>
  <c r="O162" i="5"/>
  <c r="O196" i="5"/>
  <c r="P364" i="5"/>
  <c r="L377" i="5"/>
  <c r="O377" i="5" s="1"/>
  <c r="P542" i="5"/>
  <c r="S692" i="5"/>
  <c r="S690" i="5" s="1"/>
  <c r="M23" i="6"/>
  <c r="S23" i="6"/>
  <c r="M26" i="6"/>
  <c r="L61" i="6"/>
  <c r="M74" i="6"/>
  <c r="P74" i="6" s="1"/>
  <c r="Q94" i="6"/>
  <c r="O95" i="6"/>
  <c r="P122" i="6"/>
  <c r="M119" i="6"/>
  <c r="P119" i="6" s="1"/>
  <c r="R141" i="6"/>
  <c r="U141" i="6" s="1"/>
  <c r="O165" i="6"/>
  <c r="L159" i="6"/>
  <c r="O159" i="6" s="1"/>
  <c r="O181" i="6"/>
  <c r="L175" i="6"/>
  <c r="M189" i="6"/>
  <c r="P189" i="6" s="1"/>
  <c r="P191" i="6"/>
  <c r="K220" i="6"/>
  <c r="I213" i="6"/>
  <c r="K213" i="6" s="1"/>
  <c r="K249" i="6"/>
  <c r="I242" i="6"/>
  <c r="R268" i="6"/>
  <c r="U268" i="6" s="1"/>
  <c r="U271" i="6"/>
  <c r="R320" i="6"/>
  <c r="U320" i="6" s="1"/>
  <c r="U321" i="6"/>
  <c r="P341" i="6"/>
  <c r="M335" i="6"/>
  <c r="M333" i="6" s="1"/>
  <c r="M339" i="6"/>
  <c r="P339" i="6" s="1"/>
  <c r="O328" i="6"/>
  <c r="L322" i="6"/>
  <c r="O322" i="6" s="1"/>
  <c r="P338" i="6"/>
  <c r="N335" i="6"/>
  <c r="N333" i="6" s="1"/>
  <c r="L495" i="6"/>
  <c r="O495" i="6" s="1"/>
  <c r="L496" i="6"/>
  <c r="O496" i="6" s="1"/>
  <c r="I701" i="6"/>
  <c r="K701" i="6" s="1"/>
  <c r="K705" i="6"/>
  <c r="T191" i="6"/>
  <c r="Q189" i="6"/>
  <c r="T189" i="6" s="1"/>
  <c r="L243" i="6"/>
  <c r="P271" i="6"/>
  <c r="N269" i="6"/>
  <c r="P269" i="6" s="1"/>
  <c r="P321" i="6"/>
  <c r="U357" i="6"/>
  <c r="R356" i="6"/>
  <c r="U356" i="6" s="1"/>
  <c r="L377" i="6"/>
  <c r="R377" i="6"/>
  <c r="R378" i="6"/>
  <c r="U378" i="6" s="1"/>
  <c r="P418" i="6"/>
  <c r="N416" i="6"/>
  <c r="O416" i="6" s="1"/>
  <c r="L519" i="6"/>
  <c r="O519" i="6" s="1"/>
  <c r="O521" i="6"/>
  <c r="Q188" i="6"/>
  <c r="N232" i="6"/>
  <c r="U267" i="6"/>
  <c r="L282" i="6"/>
  <c r="O282" i="6" s="1"/>
  <c r="L285" i="6"/>
  <c r="O285" i="6" s="1"/>
  <c r="O287" i="6"/>
  <c r="N284" i="6"/>
  <c r="N282" i="6" s="1"/>
  <c r="N288" i="6"/>
  <c r="K292" i="6"/>
  <c r="N336" i="6"/>
  <c r="P336" i="6" s="1"/>
  <c r="L378" i="6"/>
  <c r="O378" i="6" s="1"/>
  <c r="K386" i="6"/>
  <c r="I374" i="6"/>
  <c r="Q416" i="6"/>
  <c r="Q415" i="6"/>
  <c r="U498" i="6"/>
  <c r="R495" i="6"/>
  <c r="U495" i="6" s="1"/>
  <c r="U494" i="6"/>
  <c r="M536" i="6"/>
  <c r="P536" i="6" s="1"/>
  <c r="P539" i="6"/>
  <c r="R760" i="6"/>
  <c r="U760" i="6" s="1"/>
  <c r="U762" i="6"/>
  <c r="L254" i="6"/>
  <c r="O254" i="6" s="1"/>
  <c r="S282" i="6"/>
  <c r="K368" i="6"/>
  <c r="O494" i="6"/>
  <c r="P514" i="6"/>
  <c r="Q576" i="6"/>
  <c r="T576" i="6" s="1"/>
  <c r="T578" i="6"/>
  <c r="Q728" i="6"/>
  <c r="O556" i="6"/>
  <c r="S356" i="6"/>
  <c r="O418" i="6"/>
  <c r="K433" i="6"/>
  <c r="O514" i="6"/>
  <c r="S513" i="6"/>
  <c r="P535" i="6"/>
  <c r="R576" i="6"/>
  <c r="U576" i="6" s="1"/>
  <c r="U577" i="6"/>
  <c r="S763" i="6"/>
  <c r="S762" i="6"/>
  <c r="S760" i="6" s="1"/>
  <c r="L728" i="6"/>
  <c r="O728" i="6" s="1"/>
  <c r="O729" i="6"/>
  <c r="T733" i="6"/>
  <c r="Q731" i="6"/>
  <c r="T731" i="6" s="1"/>
  <c r="I280" i="6"/>
  <c r="K280" i="6" s="1"/>
  <c r="O321" i="6"/>
  <c r="N322" i="6"/>
  <c r="N320" i="6" s="1"/>
  <c r="M358" i="6"/>
  <c r="T397" i="6"/>
  <c r="T498" i="6"/>
  <c r="L515" i="6"/>
  <c r="O515" i="6" s="1"/>
  <c r="O518" i="6"/>
  <c r="T556" i="6"/>
  <c r="O560" i="6"/>
  <c r="L557" i="6"/>
  <c r="O557" i="6" s="1"/>
  <c r="P600" i="6"/>
  <c r="N602" i="6"/>
  <c r="O602" i="6" s="1"/>
  <c r="N601" i="6"/>
  <c r="O604" i="6"/>
  <c r="S714" i="6"/>
  <c r="T643" i="6"/>
  <c r="Q714" i="6"/>
  <c r="T714" i="6" s="1"/>
  <c r="O715" i="6"/>
  <c r="K726" i="6"/>
  <c r="R731" i="6"/>
  <c r="U731" i="6" s="1"/>
  <c r="U733" i="6"/>
  <c r="R730" i="6"/>
  <c r="U647" i="6"/>
  <c r="R644" i="6"/>
  <c r="N728" i="6"/>
  <c r="T621" i="6"/>
  <c r="J702" i="6"/>
  <c r="T765" i="6"/>
  <c r="Q762" i="6"/>
  <c r="O542" i="6"/>
  <c r="L536" i="6"/>
  <c r="O584" i="6"/>
  <c r="L578" i="6"/>
  <c r="O578" i="6" s="1"/>
  <c r="Q601" i="6"/>
  <c r="T601" i="6" s="1"/>
  <c r="P604" i="6"/>
  <c r="S619" i="6"/>
  <c r="U621" i="6"/>
  <c r="U695" i="6"/>
  <c r="R692" i="6"/>
  <c r="U715" i="6"/>
  <c r="K626" i="6"/>
  <c r="O560" i="5"/>
  <c r="L557" i="5"/>
  <c r="L555" i="5" s="1"/>
  <c r="O555" i="5" s="1"/>
  <c r="L558" i="5"/>
  <c r="O558" i="5" s="1"/>
  <c r="S618" i="5"/>
  <c r="S616" i="5" s="1"/>
  <c r="S619" i="5"/>
  <c r="K631" i="5"/>
  <c r="K629" i="5"/>
  <c r="I615" i="5"/>
  <c r="K615" i="5" s="1"/>
  <c r="I759" i="5"/>
  <c r="K759" i="5" s="1"/>
  <c r="K774" i="5"/>
  <c r="K386" i="3"/>
  <c r="Q192" i="4"/>
  <c r="T192" i="4" s="1"/>
  <c r="M326" i="4"/>
  <c r="P326" i="4" s="1"/>
  <c r="M415" i="4"/>
  <c r="M413" i="4" s="1"/>
  <c r="K780" i="4"/>
  <c r="O67" i="5"/>
  <c r="P80" i="5"/>
  <c r="Q123" i="5"/>
  <c r="T123" i="5" s="1"/>
  <c r="Q141" i="5"/>
  <c r="Q139" i="5" s="1"/>
  <c r="M268" i="5"/>
  <c r="M266" i="5" s="1"/>
  <c r="O274" i="5"/>
  <c r="M326" i="5"/>
  <c r="P326" i="5" s="1"/>
  <c r="S377" i="5"/>
  <c r="U377" i="5" s="1"/>
  <c r="M381" i="5"/>
  <c r="P381" i="5" s="1"/>
  <c r="Q159" i="4"/>
  <c r="Q157" i="4" s="1"/>
  <c r="T157" i="4" s="1"/>
  <c r="T162" i="4"/>
  <c r="Q189" i="4"/>
  <c r="T189" i="4" s="1"/>
  <c r="M96" i="5"/>
  <c r="P96" i="5" s="1"/>
  <c r="L159" i="5"/>
  <c r="L157" i="5" s="1"/>
  <c r="O157" i="5" s="1"/>
  <c r="M272" i="5"/>
  <c r="P272" i="5" s="1"/>
  <c r="L285" i="5"/>
  <c r="O285" i="5" s="1"/>
  <c r="T308" i="5"/>
  <c r="I319" i="5"/>
  <c r="K319" i="5" s="1"/>
  <c r="L378" i="5"/>
  <c r="O378" i="5" s="1"/>
  <c r="Q415" i="5"/>
  <c r="Q413" i="5" s="1"/>
  <c r="L175" i="4"/>
  <c r="L173" i="4" s="1"/>
  <c r="I302" i="4"/>
  <c r="K302" i="4" s="1"/>
  <c r="T416" i="4"/>
  <c r="R495" i="4"/>
  <c r="U495" i="4" s="1"/>
  <c r="T77" i="5"/>
  <c r="N96" i="5"/>
  <c r="N94" i="5" s="1"/>
  <c r="L175" i="5"/>
  <c r="L179" i="5"/>
  <c r="O179" i="5" s="1"/>
  <c r="O191" i="5"/>
  <c r="L269" i="5"/>
  <c r="O269" i="5" s="1"/>
  <c r="L284" i="5"/>
  <c r="O284" i="5" s="1"/>
  <c r="T378" i="5"/>
  <c r="O418" i="5"/>
  <c r="R605" i="5"/>
  <c r="U605" i="5" s="1"/>
  <c r="R601" i="5"/>
  <c r="U601" i="5" s="1"/>
  <c r="K774" i="4"/>
  <c r="K784" i="4"/>
  <c r="P64" i="5"/>
  <c r="N26" i="5"/>
  <c r="N24" i="5" s="1"/>
  <c r="M119" i="5"/>
  <c r="P119" i="5" s="1"/>
  <c r="T142" i="5"/>
  <c r="N188" i="5"/>
  <c r="N186" i="5" s="1"/>
  <c r="L254" i="5"/>
  <c r="O254" i="5" s="1"/>
  <c r="R266" i="5"/>
  <c r="M336" i="5"/>
  <c r="P336" i="5" s="1"/>
  <c r="K778" i="5"/>
  <c r="N100" i="1"/>
  <c r="N717" i="1"/>
  <c r="M519" i="5"/>
  <c r="P519" i="5" s="1"/>
  <c r="P521" i="5"/>
  <c r="K632" i="5"/>
  <c r="M495" i="5"/>
  <c r="P495" i="5" s="1"/>
  <c r="K626" i="5"/>
  <c r="T695" i="5"/>
  <c r="J701" i="5"/>
  <c r="R730" i="5"/>
  <c r="R728" i="5" s="1"/>
  <c r="U728" i="5" s="1"/>
  <c r="U498" i="5"/>
  <c r="M97" i="4"/>
  <c r="P97" i="4" s="1"/>
  <c r="K503" i="5"/>
  <c r="I492" i="5"/>
  <c r="K492" i="5" s="1"/>
  <c r="N188" i="3"/>
  <c r="N186" i="3" s="1"/>
  <c r="M381" i="3"/>
  <c r="P381" i="3" s="1"/>
  <c r="N46" i="4"/>
  <c r="N44" i="4" s="1"/>
  <c r="S119" i="4"/>
  <c r="S117" i="4" s="1"/>
  <c r="M272" i="4"/>
  <c r="P272" i="4" s="1"/>
  <c r="R601" i="4"/>
  <c r="R599" i="4" s="1"/>
  <c r="U599" i="4" s="1"/>
  <c r="R619" i="4"/>
  <c r="N74" i="5"/>
  <c r="N72" i="5" s="1"/>
  <c r="N75" i="5"/>
  <c r="U125" i="5"/>
  <c r="R123" i="5"/>
  <c r="U123" i="5" s="1"/>
  <c r="Q377" i="5"/>
  <c r="T380" i="5"/>
  <c r="K423" i="5"/>
  <c r="I412" i="5"/>
  <c r="K412" i="5" s="1"/>
  <c r="L499" i="5"/>
  <c r="O499" i="5" s="1"/>
  <c r="L495" i="5"/>
  <c r="O495" i="5" s="1"/>
  <c r="O501" i="5"/>
  <c r="K154" i="5"/>
  <c r="I136" i="5"/>
  <c r="K136" i="5" s="1"/>
  <c r="Q731" i="5"/>
  <c r="Q730" i="5"/>
  <c r="Q728" i="5" s="1"/>
  <c r="T728" i="5" s="1"/>
  <c r="T733" i="5"/>
  <c r="O80" i="5"/>
  <c r="L74" i="5"/>
  <c r="L72" i="5" s="1"/>
  <c r="O72" i="5" s="1"/>
  <c r="I116" i="5"/>
  <c r="K116" i="5" s="1"/>
  <c r="P147" i="5"/>
  <c r="M145" i="5"/>
  <c r="P145" i="5" s="1"/>
  <c r="M23" i="5"/>
  <c r="M159" i="5"/>
  <c r="P159" i="5" s="1"/>
  <c r="N179" i="5"/>
  <c r="N175" i="5"/>
  <c r="N173" i="5" s="1"/>
  <c r="Q395" i="5"/>
  <c r="T395" i="5" s="1"/>
  <c r="T397" i="5"/>
  <c r="M415" i="5"/>
  <c r="P418" i="5"/>
  <c r="M416" i="5"/>
  <c r="P416" i="5" s="1"/>
  <c r="T495" i="5"/>
  <c r="Q493" i="5"/>
  <c r="T493" i="5" s="1"/>
  <c r="K365" i="3"/>
  <c r="Q119" i="4"/>
  <c r="Q117" i="4" s="1"/>
  <c r="R605" i="4"/>
  <c r="U605" i="4" s="1"/>
  <c r="Q23" i="5"/>
  <c r="U99" i="5"/>
  <c r="R96" i="5"/>
  <c r="U96" i="5" s="1"/>
  <c r="R97" i="5"/>
  <c r="U97" i="5" s="1"/>
  <c r="Q303" i="5"/>
  <c r="T303" i="5" s="1"/>
  <c r="M305" i="5"/>
  <c r="P308" i="5"/>
  <c r="M306" i="5"/>
  <c r="P306" i="5" s="1"/>
  <c r="T394" i="5"/>
  <c r="Q392" i="5"/>
  <c r="T392" i="5" s="1"/>
  <c r="N601" i="5"/>
  <c r="N599" i="5" s="1"/>
  <c r="N605" i="5"/>
  <c r="R74" i="3"/>
  <c r="R72" i="3" s="1"/>
  <c r="O142" i="3"/>
  <c r="N96" i="4"/>
  <c r="N94" i="4" s="1"/>
  <c r="L222" i="4"/>
  <c r="O222" i="4" s="1"/>
  <c r="J343" i="4"/>
  <c r="M362" i="4"/>
  <c r="P362" i="4" s="1"/>
  <c r="S495" i="4"/>
  <c r="S493" i="4" s="1"/>
  <c r="L499" i="4"/>
  <c r="O499" i="4" s="1"/>
  <c r="L516" i="4"/>
  <c r="O516" i="4" s="1"/>
  <c r="O563" i="4"/>
  <c r="Q75" i="5"/>
  <c r="T75" i="5" s="1"/>
  <c r="I82" i="5"/>
  <c r="I70" i="5" s="1"/>
  <c r="K70" i="5" s="1"/>
  <c r="Q119" i="5"/>
  <c r="Q117" i="5" s="1"/>
  <c r="Q120" i="5"/>
  <c r="T120" i="5" s="1"/>
  <c r="I302" i="5"/>
  <c r="K302" i="5" s="1"/>
  <c r="K314" i="5"/>
  <c r="I758" i="5"/>
  <c r="K758" i="5" s="1"/>
  <c r="K772" i="5"/>
  <c r="L96" i="4"/>
  <c r="O96" i="4" s="1"/>
  <c r="M100" i="4"/>
  <c r="P100" i="4" s="1"/>
  <c r="I138" i="4"/>
  <c r="K138" i="4" s="1"/>
  <c r="I280" i="4"/>
  <c r="K280" i="4" s="1"/>
  <c r="R306" i="4"/>
  <c r="Q377" i="4"/>
  <c r="Q375" i="4" s="1"/>
  <c r="L377" i="4"/>
  <c r="L381" i="4"/>
  <c r="O381" i="4" s="1"/>
  <c r="R496" i="4"/>
  <c r="U496" i="4" s="1"/>
  <c r="L579" i="4"/>
  <c r="O579" i="4" s="1"/>
  <c r="T162" i="5"/>
  <c r="Q159" i="5"/>
  <c r="T159" i="5" s="1"/>
  <c r="M189" i="5"/>
  <c r="P189" i="5" s="1"/>
  <c r="M188" i="5"/>
  <c r="O364" i="5"/>
  <c r="L362" i="5"/>
  <c r="O362" i="5" s="1"/>
  <c r="I374" i="5"/>
  <c r="K386" i="5"/>
  <c r="O421" i="5"/>
  <c r="L415" i="5"/>
  <c r="L419" i="5"/>
  <c r="O419" i="5" s="1"/>
  <c r="R763" i="5"/>
  <c r="U763" i="5" s="1"/>
  <c r="U765" i="5"/>
  <c r="R762" i="5"/>
  <c r="R760" i="5" s="1"/>
  <c r="U760" i="5" s="1"/>
  <c r="Q96" i="5"/>
  <c r="T96" i="5" s="1"/>
  <c r="O144" i="5"/>
  <c r="T144" i="5"/>
  <c r="S157" i="5"/>
  <c r="L235" i="5"/>
  <c r="I265" i="5"/>
  <c r="K265" i="5" s="1"/>
  <c r="L268" i="5"/>
  <c r="L266" i="5" s="1"/>
  <c r="J351" i="5"/>
  <c r="K457" i="5"/>
  <c r="J503" i="5"/>
  <c r="J492" i="5" s="1"/>
  <c r="L561" i="5"/>
  <c r="O561" i="5" s="1"/>
  <c r="L578" i="5"/>
  <c r="L576" i="5" s="1"/>
  <c r="S601" i="5"/>
  <c r="S599" i="5" s="1"/>
  <c r="U621" i="5"/>
  <c r="K630" i="5"/>
  <c r="S644" i="5"/>
  <c r="S642" i="5" s="1"/>
  <c r="K726" i="5"/>
  <c r="Q762" i="5"/>
  <c r="T762" i="5" s="1"/>
  <c r="N23" i="5"/>
  <c r="N21" i="5" s="1"/>
  <c r="L46" i="5"/>
  <c r="L44" i="5" s="1"/>
  <c r="O65" i="5"/>
  <c r="R26" i="5"/>
  <c r="M141" i="5"/>
  <c r="M139" i="5" s="1"/>
  <c r="L236" i="5"/>
  <c r="L306" i="5"/>
  <c r="O306" i="5" s="1"/>
  <c r="N358" i="5"/>
  <c r="N356" i="5" s="1"/>
  <c r="L416" i="5"/>
  <c r="O416" i="5" s="1"/>
  <c r="O498" i="5"/>
  <c r="M499" i="5"/>
  <c r="P499" i="5" s="1"/>
  <c r="L536" i="5"/>
  <c r="O536" i="5" s="1"/>
  <c r="P602" i="5"/>
  <c r="K705" i="5"/>
  <c r="O189" i="5"/>
  <c r="J332" i="5"/>
  <c r="K332" i="5" s="1"/>
  <c r="O602" i="5"/>
  <c r="N47" i="5"/>
  <c r="P47" i="5" s="1"/>
  <c r="N62" i="5"/>
  <c r="P62" i="5" s="1"/>
  <c r="L97" i="5"/>
  <c r="O97" i="5" s="1"/>
  <c r="P99" i="5"/>
  <c r="L123" i="5"/>
  <c r="O123" i="5" s="1"/>
  <c r="I221" i="5"/>
  <c r="K221" i="5" s="1"/>
  <c r="U271" i="5"/>
  <c r="K368" i="5"/>
  <c r="K365" i="5"/>
  <c r="M378" i="5"/>
  <c r="P378" i="5" s="1"/>
  <c r="N415" i="5"/>
  <c r="N413" i="5" s="1"/>
  <c r="N536" i="5"/>
  <c r="N534" i="5" s="1"/>
  <c r="M601" i="5"/>
  <c r="P604" i="5"/>
  <c r="U695" i="5"/>
  <c r="K703" i="5"/>
  <c r="K779" i="5"/>
  <c r="O142" i="5"/>
  <c r="L214" i="5"/>
  <c r="O214" i="5" s="1"/>
  <c r="L222" i="5"/>
  <c r="O222" i="5" s="1"/>
  <c r="I280" i="5"/>
  <c r="K280" i="5" s="1"/>
  <c r="N322" i="5"/>
  <c r="N320" i="5" s="1"/>
  <c r="M358" i="5"/>
  <c r="T19" i="5"/>
  <c r="O19" i="5"/>
  <c r="P52" i="5"/>
  <c r="M46" i="5"/>
  <c r="P67" i="5"/>
  <c r="M61" i="5"/>
  <c r="M59" i="5" s="1"/>
  <c r="K85" i="5"/>
  <c r="I83" i="5"/>
  <c r="U144" i="5"/>
  <c r="R141" i="5"/>
  <c r="R139" i="5" s="1"/>
  <c r="R142" i="5"/>
  <c r="U142" i="5" s="1"/>
  <c r="O147" i="5"/>
  <c r="L145" i="5"/>
  <c r="O145" i="5" s="1"/>
  <c r="K230" i="5"/>
  <c r="N305" i="5"/>
  <c r="N303" i="5" s="1"/>
  <c r="N309" i="5"/>
  <c r="Q762" i="2"/>
  <c r="Q760" i="2" s="1"/>
  <c r="R188" i="3"/>
  <c r="R186" i="3" s="1"/>
  <c r="L234" i="3"/>
  <c r="O328" i="3"/>
  <c r="L65" i="4"/>
  <c r="O65" i="4" s="1"/>
  <c r="R119" i="4"/>
  <c r="I137" i="4"/>
  <c r="K137" i="4" s="1"/>
  <c r="L141" i="4"/>
  <c r="L139" i="4" s="1"/>
  <c r="O144" i="4"/>
  <c r="M179" i="4"/>
  <c r="P179" i="4" s="1"/>
  <c r="M188" i="4"/>
  <c r="M186" i="4" s="1"/>
  <c r="I221" i="4"/>
  <c r="K221" i="4" s="1"/>
  <c r="L268" i="4"/>
  <c r="L266" i="4" s="1"/>
  <c r="L272" i="4"/>
  <c r="O272" i="4" s="1"/>
  <c r="L335" i="4"/>
  <c r="L333" i="4" s="1"/>
  <c r="U397" i="4"/>
  <c r="M495" i="4"/>
  <c r="P495" i="4" s="1"/>
  <c r="L515" i="4"/>
  <c r="O515" i="4" s="1"/>
  <c r="Q692" i="4"/>
  <c r="Q690" i="4" s="1"/>
  <c r="S23" i="5"/>
  <c r="O49" i="5"/>
  <c r="L61" i="5"/>
  <c r="O64" i="5"/>
  <c r="P73" i="5"/>
  <c r="R78" i="5"/>
  <c r="U78" i="5" s="1"/>
  <c r="R119" i="5"/>
  <c r="P122" i="5"/>
  <c r="O140" i="5"/>
  <c r="S141" i="5"/>
  <c r="S139" i="5" s="1"/>
  <c r="P174" i="5"/>
  <c r="U194" i="5"/>
  <c r="R188" i="5"/>
  <c r="R192" i="5"/>
  <c r="U192" i="5" s="1"/>
  <c r="N272" i="5"/>
  <c r="N268" i="5"/>
  <c r="O325" i="5"/>
  <c r="L322" i="5"/>
  <c r="R495" i="2"/>
  <c r="U495" i="2" s="1"/>
  <c r="L46" i="4"/>
  <c r="L44" i="4" s="1"/>
  <c r="R74" i="4"/>
  <c r="U74" i="4" s="1"/>
  <c r="M119" i="4"/>
  <c r="P119" i="4" s="1"/>
  <c r="N142" i="4"/>
  <c r="M175" i="4"/>
  <c r="M173" i="4" s="1"/>
  <c r="L234" i="4"/>
  <c r="R269" i="4"/>
  <c r="M285" i="4"/>
  <c r="P285" i="4" s="1"/>
  <c r="P311" i="4"/>
  <c r="R415" i="4"/>
  <c r="R413" i="4" s="1"/>
  <c r="M419" i="4"/>
  <c r="P419" i="4" s="1"/>
  <c r="P542" i="4"/>
  <c r="S692" i="4"/>
  <c r="S690" i="4" s="1"/>
  <c r="J702" i="4"/>
  <c r="K781" i="4"/>
  <c r="S26" i="5"/>
  <c r="S24" i="5" s="1"/>
  <c r="R44" i="5"/>
  <c r="U44" i="5" s="1"/>
  <c r="P45" i="5"/>
  <c r="N46" i="5"/>
  <c r="N44" i="5" s="1"/>
  <c r="P49" i="5"/>
  <c r="P60" i="5"/>
  <c r="N61" i="5"/>
  <c r="N59" i="5" s="1"/>
  <c r="I92" i="5"/>
  <c r="K92" i="5" s="1"/>
  <c r="L100" i="5"/>
  <c r="O100" i="5" s="1"/>
  <c r="L119" i="5"/>
  <c r="O119" i="5" s="1"/>
  <c r="S119" i="5"/>
  <c r="T178" i="5"/>
  <c r="Q176" i="5"/>
  <c r="T176" i="5" s="1"/>
  <c r="P187" i="5"/>
  <c r="N243" i="5"/>
  <c r="N232" i="5" s="1"/>
  <c r="L359" i="5"/>
  <c r="O359" i="5" s="1"/>
  <c r="O361" i="5"/>
  <c r="I281" i="4"/>
  <c r="K281" i="4" s="1"/>
  <c r="N377" i="4"/>
  <c r="N375" i="4" s="1"/>
  <c r="O607" i="4"/>
  <c r="S645" i="4"/>
  <c r="S763" i="4"/>
  <c r="O25" i="5"/>
  <c r="M26" i="5"/>
  <c r="R59" i="5"/>
  <c r="U59" i="5" s="1"/>
  <c r="T95" i="5"/>
  <c r="L141" i="5"/>
  <c r="L139" i="5" s="1"/>
  <c r="P158" i="5"/>
  <c r="P162" i="5"/>
  <c r="M160" i="5"/>
  <c r="P160" i="5" s="1"/>
  <c r="M163" i="5"/>
  <c r="P163" i="5" s="1"/>
  <c r="P165" i="5"/>
  <c r="K183" i="5"/>
  <c r="I172" i="5"/>
  <c r="K172" i="5" s="1"/>
  <c r="S395" i="5"/>
  <c r="S394" i="5"/>
  <c r="S392" i="5" s="1"/>
  <c r="L601" i="3"/>
  <c r="O601" i="3" s="1"/>
  <c r="L605" i="3"/>
  <c r="O605" i="3" s="1"/>
  <c r="K709" i="3"/>
  <c r="N61" i="4"/>
  <c r="N59" i="4" s="1"/>
  <c r="I92" i="4"/>
  <c r="K92" i="4" s="1"/>
  <c r="Q96" i="4"/>
  <c r="Q141" i="4"/>
  <c r="Q139" i="4" s="1"/>
  <c r="S159" i="4"/>
  <c r="S157" i="4" s="1"/>
  <c r="L236" i="4"/>
  <c r="M268" i="4"/>
  <c r="M266" i="4" s="1"/>
  <c r="T271" i="4"/>
  <c r="M323" i="4"/>
  <c r="P323" i="4" s="1"/>
  <c r="I492" i="4"/>
  <c r="K492" i="4" s="1"/>
  <c r="L495" i="4"/>
  <c r="L493" i="4" s="1"/>
  <c r="O493" i="4" s="1"/>
  <c r="M519" i="4"/>
  <c r="P519" i="4" s="1"/>
  <c r="Q601" i="4"/>
  <c r="T601" i="4" s="1"/>
  <c r="I689" i="4"/>
  <c r="T733" i="4"/>
  <c r="K779" i="4"/>
  <c r="L23" i="5"/>
  <c r="R23" i="5"/>
  <c r="L96" i="5"/>
  <c r="O96" i="5" s="1"/>
  <c r="S96" i="5"/>
  <c r="S94" i="5" s="1"/>
  <c r="N119" i="5"/>
  <c r="N117" i="5" s="1"/>
  <c r="N141" i="5"/>
  <c r="P144" i="5"/>
  <c r="Q145" i="5"/>
  <c r="T145" i="5" s="1"/>
  <c r="T147" i="5"/>
  <c r="K152" i="5"/>
  <c r="I137" i="5"/>
  <c r="K137" i="5" s="1"/>
  <c r="S175" i="5"/>
  <c r="T175" i="5" s="1"/>
  <c r="U178" i="5"/>
  <c r="M179" i="5"/>
  <c r="P179" i="5" s="1"/>
  <c r="P181" i="5"/>
  <c r="T203" i="5"/>
  <c r="L358" i="5"/>
  <c r="L356" i="5" s="1"/>
  <c r="S645" i="1"/>
  <c r="T645" i="1" s="1"/>
  <c r="Q141" i="3"/>
  <c r="Q139" i="3" s="1"/>
  <c r="L254" i="4"/>
  <c r="O254" i="4" s="1"/>
  <c r="L601" i="4"/>
  <c r="O601" i="4" s="1"/>
  <c r="T695" i="4"/>
  <c r="U765" i="4"/>
  <c r="K785" i="4"/>
  <c r="M19" i="5"/>
  <c r="M50" i="5"/>
  <c r="P50" i="5" s="1"/>
  <c r="L50" i="5"/>
  <c r="O50" i="5" s="1"/>
  <c r="L26" i="5"/>
  <c r="M65" i="5"/>
  <c r="P65" i="5" s="1"/>
  <c r="P178" i="5"/>
  <c r="M175" i="5"/>
  <c r="M176" i="5"/>
  <c r="P176" i="5" s="1"/>
  <c r="U268" i="5"/>
  <c r="S266" i="5"/>
  <c r="T268" i="5"/>
  <c r="K241" i="5"/>
  <c r="T271" i="5"/>
  <c r="P290" i="5"/>
  <c r="M284" i="5"/>
  <c r="L305" i="5"/>
  <c r="O305" i="5" s="1"/>
  <c r="R306" i="5"/>
  <c r="R305" i="5"/>
  <c r="U305" i="5" s="1"/>
  <c r="O311" i="5"/>
  <c r="K346" i="5"/>
  <c r="P357" i="5"/>
  <c r="M377" i="5"/>
  <c r="S415" i="5"/>
  <c r="U415" i="5" s="1"/>
  <c r="O577" i="5"/>
  <c r="T621" i="5"/>
  <c r="Q618" i="5"/>
  <c r="Q619" i="5"/>
  <c r="S189" i="5"/>
  <c r="T189" i="5" s="1"/>
  <c r="T191" i="5"/>
  <c r="T358" i="5"/>
  <c r="Q356" i="5"/>
  <c r="T356" i="5" s="1"/>
  <c r="S416" i="5"/>
  <c r="U494" i="5"/>
  <c r="U191" i="5"/>
  <c r="M192" i="5"/>
  <c r="P192" i="5" s="1"/>
  <c r="P194" i="5"/>
  <c r="L234" i="5"/>
  <c r="L243" i="5"/>
  <c r="I242" i="5"/>
  <c r="K249" i="5"/>
  <c r="S320" i="5"/>
  <c r="K213" i="5"/>
  <c r="R375" i="5"/>
  <c r="U376" i="5"/>
  <c r="P191" i="5"/>
  <c r="N192" i="5"/>
  <c r="Q192" i="5"/>
  <c r="T192" i="5" s="1"/>
  <c r="Q188" i="5"/>
  <c r="K220" i="5"/>
  <c r="N233" i="5"/>
  <c r="N284" i="5"/>
  <c r="N282" i="5" s="1"/>
  <c r="O341" i="5"/>
  <c r="L335" i="5"/>
  <c r="J343" i="5"/>
  <c r="U397" i="5"/>
  <c r="R394" i="5"/>
  <c r="R395" i="5"/>
  <c r="U395" i="5" s="1"/>
  <c r="P494" i="5"/>
  <c r="K458" i="5"/>
  <c r="O494" i="5"/>
  <c r="R513" i="5"/>
  <c r="U513" i="5" s="1"/>
  <c r="U515" i="5"/>
  <c r="K707" i="5"/>
  <c r="J689" i="5"/>
  <c r="K440" i="5"/>
  <c r="L513" i="5"/>
  <c r="O513" i="5" s="1"/>
  <c r="O515" i="5"/>
  <c r="M516" i="5"/>
  <c r="P516" i="5" s="1"/>
  <c r="P518" i="5"/>
  <c r="O290" i="5"/>
  <c r="P338" i="5"/>
  <c r="N377" i="5"/>
  <c r="N375" i="5" s="1"/>
  <c r="T418" i="5"/>
  <c r="K432" i="5"/>
  <c r="K456" i="5"/>
  <c r="N495" i="5"/>
  <c r="N493" i="5" s="1"/>
  <c r="M515" i="5"/>
  <c r="T535" i="5"/>
  <c r="Q534" i="5"/>
  <c r="T534" i="5" s="1"/>
  <c r="L516" i="5"/>
  <c r="O516" i="5" s="1"/>
  <c r="O518" i="5"/>
  <c r="M537" i="5"/>
  <c r="P537" i="5" s="1"/>
  <c r="P539" i="5"/>
  <c r="K575" i="5"/>
  <c r="T643" i="5"/>
  <c r="Q555" i="5"/>
  <c r="T555" i="5" s="1"/>
  <c r="T557" i="5"/>
  <c r="M561" i="5"/>
  <c r="P561" i="5" s="1"/>
  <c r="P563" i="5"/>
  <c r="M557" i="5"/>
  <c r="M579" i="5"/>
  <c r="P581" i="5"/>
  <c r="M690" i="5"/>
  <c r="P690" i="5" s="1"/>
  <c r="P692" i="5"/>
  <c r="Q714" i="5"/>
  <c r="T714" i="5" s="1"/>
  <c r="T716" i="5"/>
  <c r="N561" i="5"/>
  <c r="N557" i="5"/>
  <c r="N555" i="5" s="1"/>
  <c r="T577" i="5"/>
  <c r="Q576" i="5"/>
  <c r="T576" i="5" s="1"/>
  <c r="N579" i="5"/>
  <c r="O579" i="5" s="1"/>
  <c r="O581" i="5"/>
  <c r="U617" i="5"/>
  <c r="U535" i="5"/>
  <c r="R534" i="5"/>
  <c r="U534" i="5" s="1"/>
  <c r="U577" i="5"/>
  <c r="R576" i="5"/>
  <c r="U576" i="5" s="1"/>
  <c r="Q602" i="5"/>
  <c r="T602" i="5" s="1"/>
  <c r="T604" i="5"/>
  <c r="T691" i="5"/>
  <c r="L760" i="5"/>
  <c r="O760" i="5" s="1"/>
  <c r="O762" i="5"/>
  <c r="T514" i="5"/>
  <c r="Q513" i="5"/>
  <c r="T513" i="5" s="1"/>
  <c r="O535" i="5"/>
  <c r="Q605" i="5"/>
  <c r="T605" i="5" s="1"/>
  <c r="T607" i="5"/>
  <c r="O617" i="5"/>
  <c r="L616" i="5"/>
  <c r="O616" i="5" s="1"/>
  <c r="M642" i="5"/>
  <c r="P642" i="5" s="1"/>
  <c r="P644" i="5"/>
  <c r="P498" i="5"/>
  <c r="R619" i="5"/>
  <c r="Q645" i="5"/>
  <c r="T645" i="5" s="1"/>
  <c r="Q693" i="5"/>
  <c r="T693" i="5" s="1"/>
  <c r="I701" i="5"/>
  <c r="M616" i="5"/>
  <c r="P616" i="5" s="1"/>
  <c r="L642" i="5"/>
  <c r="O642" i="5" s="1"/>
  <c r="R645" i="5"/>
  <c r="U645" i="5" s="1"/>
  <c r="L690" i="5"/>
  <c r="O690" i="5" s="1"/>
  <c r="R690" i="5"/>
  <c r="Q763" i="5"/>
  <c r="T763" i="5" s="1"/>
  <c r="O604" i="5"/>
  <c r="U604" i="5"/>
  <c r="O607" i="5"/>
  <c r="U607" i="5"/>
  <c r="R618" i="5"/>
  <c r="Q644" i="5"/>
  <c r="T644" i="5" s="1"/>
  <c r="Q692" i="5"/>
  <c r="O716" i="5"/>
  <c r="U716" i="5"/>
  <c r="O730" i="5"/>
  <c r="P762" i="5"/>
  <c r="N145" i="1"/>
  <c r="K183" i="4"/>
  <c r="I172" i="4"/>
  <c r="K172" i="4" s="1"/>
  <c r="P271" i="4"/>
  <c r="N269" i="4"/>
  <c r="P269" i="4" s="1"/>
  <c r="Q496" i="4"/>
  <c r="T496" i="4" s="1"/>
  <c r="Q495" i="4"/>
  <c r="T495" i="4" s="1"/>
  <c r="P326" i="3"/>
  <c r="O416" i="3"/>
  <c r="R645" i="3"/>
  <c r="U645" i="3" s="1"/>
  <c r="K781" i="3"/>
  <c r="Q26" i="4"/>
  <c r="Q24" i="4" s="1"/>
  <c r="M75" i="4"/>
  <c r="P75" i="4" s="1"/>
  <c r="S23" i="4"/>
  <c r="S21" i="4" s="1"/>
  <c r="N100" i="4"/>
  <c r="R142" i="4"/>
  <c r="R141" i="4"/>
  <c r="R139" i="4" s="1"/>
  <c r="S26" i="4"/>
  <c r="S24" i="4" s="1"/>
  <c r="Q176" i="4"/>
  <c r="T176" i="4" s="1"/>
  <c r="T178" i="4"/>
  <c r="Q175" i="4"/>
  <c r="L306" i="4"/>
  <c r="O306" i="4" s="1"/>
  <c r="O308" i="4"/>
  <c r="L305" i="4"/>
  <c r="S602" i="4"/>
  <c r="S601" i="4"/>
  <c r="S599" i="4" s="1"/>
  <c r="S214" i="1"/>
  <c r="Q730" i="1"/>
  <c r="Q728" i="1" s="1"/>
  <c r="L578" i="2"/>
  <c r="L576" i="2" s="1"/>
  <c r="U607" i="2"/>
  <c r="M50" i="3"/>
  <c r="P50" i="3" s="1"/>
  <c r="T80" i="4"/>
  <c r="Q120" i="4"/>
  <c r="T120" i="4" s="1"/>
  <c r="T122" i="4"/>
  <c r="M23" i="4"/>
  <c r="M21" i="4" s="1"/>
  <c r="M339" i="1"/>
  <c r="N766" i="1"/>
  <c r="M499" i="2"/>
  <c r="P499" i="2" s="1"/>
  <c r="O584" i="2"/>
  <c r="L159" i="3"/>
  <c r="L157" i="3" s="1"/>
  <c r="I302" i="3"/>
  <c r="K302" i="3" s="1"/>
  <c r="N119" i="4"/>
  <c r="N117" i="4" s="1"/>
  <c r="Q123" i="4"/>
  <c r="T123" i="4" s="1"/>
  <c r="K220" i="4"/>
  <c r="I213" i="4"/>
  <c r="K213" i="4" s="1"/>
  <c r="K330" i="4"/>
  <c r="I319" i="4"/>
  <c r="K319" i="4" s="1"/>
  <c r="N398" i="1"/>
  <c r="O65" i="3"/>
  <c r="U99" i="3"/>
  <c r="O160" i="3"/>
  <c r="S188" i="3"/>
  <c r="S186" i="3" s="1"/>
  <c r="M159" i="4"/>
  <c r="P159" i="4" s="1"/>
  <c r="N359" i="1"/>
  <c r="O560" i="2"/>
  <c r="L192" i="4"/>
  <c r="O192" i="4" s="1"/>
  <c r="O194" i="4"/>
  <c r="M358" i="4"/>
  <c r="M356" i="4" s="1"/>
  <c r="M359" i="4"/>
  <c r="N159" i="4"/>
  <c r="N157" i="4" s="1"/>
  <c r="L309" i="4"/>
  <c r="O309" i="4" s="1"/>
  <c r="O336" i="4"/>
  <c r="J675" i="4"/>
  <c r="O191" i="4"/>
  <c r="O380" i="4"/>
  <c r="J689" i="4"/>
  <c r="T191" i="4"/>
  <c r="K346" i="4"/>
  <c r="M499" i="4"/>
  <c r="P499" i="4" s="1"/>
  <c r="S731" i="4"/>
  <c r="L159" i="4"/>
  <c r="O159" i="4" s="1"/>
  <c r="P178" i="4"/>
  <c r="N305" i="4"/>
  <c r="N303" i="4" s="1"/>
  <c r="K368" i="4"/>
  <c r="K386" i="4"/>
  <c r="K433" i="4"/>
  <c r="O498" i="4"/>
  <c r="K709" i="4"/>
  <c r="U618" i="4"/>
  <c r="R616" i="4"/>
  <c r="U616" i="4" s="1"/>
  <c r="K195" i="4"/>
  <c r="T765" i="2"/>
  <c r="S268" i="3"/>
  <c r="M578" i="3"/>
  <c r="M576" i="3" s="1"/>
  <c r="P584" i="3"/>
  <c r="S644" i="3"/>
  <c r="S642" i="3" s="1"/>
  <c r="K779" i="3"/>
  <c r="S74" i="4"/>
  <c r="S72" i="4" s="1"/>
  <c r="S75" i="4"/>
  <c r="T77" i="4"/>
  <c r="M96" i="4"/>
  <c r="P96" i="4" s="1"/>
  <c r="T99" i="4"/>
  <c r="I136" i="4"/>
  <c r="K136" i="4" s="1"/>
  <c r="M160" i="4"/>
  <c r="P160" i="4" s="1"/>
  <c r="N188" i="4"/>
  <c r="N186" i="4" s="1"/>
  <c r="N189" i="4"/>
  <c r="O189" i="4" s="1"/>
  <c r="L203" i="4"/>
  <c r="O203" i="4" s="1"/>
  <c r="L243" i="4"/>
  <c r="O243" i="4" s="1"/>
  <c r="I265" i="4"/>
  <c r="K265" i="4" s="1"/>
  <c r="L285" i="4"/>
  <c r="O285" i="4" s="1"/>
  <c r="M284" i="4"/>
  <c r="P284" i="4" s="1"/>
  <c r="N322" i="4"/>
  <c r="N320" i="4" s="1"/>
  <c r="O338" i="4"/>
  <c r="J351" i="4"/>
  <c r="S394" i="4"/>
  <c r="S392" i="4" s="1"/>
  <c r="L415" i="4"/>
  <c r="L413" i="4" s="1"/>
  <c r="U418" i="4"/>
  <c r="L519" i="4"/>
  <c r="O519" i="4" s="1"/>
  <c r="N536" i="4"/>
  <c r="N534" i="4" s="1"/>
  <c r="L537" i="4"/>
  <c r="O537" i="4" s="1"/>
  <c r="M561" i="4"/>
  <c r="P561" i="4" s="1"/>
  <c r="M582" i="4"/>
  <c r="P582" i="4" s="1"/>
  <c r="K629" i="4"/>
  <c r="Q645" i="4"/>
  <c r="T645" i="4" s="1"/>
  <c r="Q644" i="4"/>
  <c r="T693" i="4"/>
  <c r="Q731" i="4"/>
  <c r="Q730" i="4"/>
  <c r="T730" i="4" s="1"/>
  <c r="N175" i="3"/>
  <c r="N173" i="3" s="1"/>
  <c r="M339" i="3"/>
  <c r="P339" i="3" s="1"/>
  <c r="S377" i="3"/>
  <c r="L74" i="4"/>
  <c r="O74" i="4" s="1"/>
  <c r="P80" i="4"/>
  <c r="Q142" i="4"/>
  <c r="S141" i="4"/>
  <c r="S139" i="4" s="1"/>
  <c r="P162" i="4"/>
  <c r="N176" i="4"/>
  <c r="P176" i="4" s="1"/>
  <c r="U191" i="4"/>
  <c r="L233" i="4"/>
  <c r="U271" i="4"/>
  <c r="N309" i="4"/>
  <c r="M496" i="4"/>
  <c r="P496" i="4" s="1"/>
  <c r="M605" i="4"/>
  <c r="P605" i="4" s="1"/>
  <c r="P607" i="4"/>
  <c r="U733" i="4"/>
  <c r="R731" i="4"/>
  <c r="S266" i="4"/>
  <c r="U266" i="4" s="1"/>
  <c r="S269" i="4"/>
  <c r="T269" i="4" s="1"/>
  <c r="U194" i="3"/>
  <c r="Q394" i="3"/>
  <c r="T394" i="3" s="1"/>
  <c r="K785" i="3"/>
  <c r="L50" i="4"/>
  <c r="O50" i="4" s="1"/>
  <c r="M65" i="4"/>
  <c r="P65" i="4" s="1"/>
  <c r="M74" i="4"/>
  <c r="L75" i="4"/>
  <c r="O75" i="4" s="1"/>
  <c r="M120" i="4"/>
  <c r="P120" i="4" s="1"/>
  <c r="M123" i="4"/>
  <c r="P123" i="4" s="1"/>
  <c r="L145" i="4"/>
  <c r="O145" i="4" s="1"/>
  <c r="N175" i="4"/>
  <c r="O271" i="4"/>
  <c r="M306" i="4"/>
  <c r="P306" i="4" s="1"/>
  <c r="K365" i="4"/>
  <c r="M381" i="4"/>
  <c r="P381" i="4" s="1"/>
  <c r="O418" i="4"/>
  <c r="P498" i="4"/>
  <c r="N516" i="4"/>
  <c r="N515" i="4"/>
  <c r="N513" i="4" s="1"/>
  <c r="O521" i="4"/>
  <c r="R602" i="4"/>
  <c r="U602" i="4" s="1"/>
  <c r="N602" i="4"/>
  <c r="N601" i="4"/>
  <c r="N599" i="4" s="1"/>
  <c r="O579" i="3"/>
  <c r="L23" i="4"/>
  <c r="L21" i="4" s="1"/>
  <c r="M50" i="4"/>
  <c r="P50" i="4" s="1"/>
  <c r="K109" i="4"/>
  <c r="T147" i="4"/>
  <c r="S176" i="4"/>
  <c r="R188" i="4"/>
  <c r="U194" i="4"/>
  <c r="K198" i="4"/>
  <c r="Q266" i="4"/>
  <c r="L339" i="4"/>
  <c r="O339" i="4" s="1"/>
  <c r="N335" i="4"/>
  <c r="N333" i="4" s="1"/>
  <c r="S415" i="4"/>
  <c r="S413" i="4" s="1"/>
  <c r="M557" i="4"/>
  <c r="P557" i="4" s="1"/>
  <c r="M579" i="4"/>
  <c r="P579" i="4" s="1"/>
  <c r="O604" i="4"/>
  <c r="L602" i="4"/>
  <c r="O602" i="4" s="1"/>
  <c r="U604" i="4"/>
  <c r="R763" i="4"/>
  <c r="R762" i="4"/>
  <c r="R760" i="4" s="1"/>
  <c r="U760" i="4" s="1"/>
  <c r="I202" i="4"/>
  <c r="K202" i="4" s="1"/>
  <c r="Q495" i="3"/>
  <c r="T495" i="3" s="1"/>
  <c r="S601" i="3"/>
  <c r="S599" i="3" s="1"/>
  <c r="J701" i="3"/>
  <c r="L61" i="4"/>
  <c r="Q74" i="4"/>
  <c r="T74" i="4" s="1"/>
  <c r="L26" i="4"/>
  <c r="L24" i="4" s="1"/>
  <c r="O24" i="4" s="1"/>
  <c r="L142" i="4"/>
  <c r="K169" i="4"/>
  <c r="S173" i="4"/>
  <c r="L188" i="4"/>
  <c r="S188" i="4"/>
  <c r="S186" i="4" s="1"/>
  <c r="L214" i="4"/>
  <c r="O214" i="4" s="1"/>
  <c r="U268" i="4"/>
  <c r="U308" i="4"/>
  <c r="N339" i="4"/>
  <c r="O341" i="4"/>
  <c r="K371" i="4"/>
  <c r="U416" i="4"/>
  <c r="I701" i="4"/>
  <c r="K705" i="4"/>
  <c r="N495" i="4"/>
  <c r="N493" i="4" s="1"/>
  <c r="J701" i="4"/>
  <c r="I758" i="4"/>
  <c r="K758" i="4" s="1"/>
  <c r="T394" i="4"/>
  <c r="Q392" i="4"/>
  <c r="T392" i="4" s="1"/>
  <c r="S203" i="1"/>
  <c r="R120" i="4"/>
  <c r="U120" i="4" s="1"/>
  <c r="U122" i="4"/>
  <c r="M145" i="4"/>
  <c r="P145" i="4" s="1"/>
  <c r="P147" i="4"/>
  <c r="P376" i="4"/>
  <c r="T765" i="4"/>
  <c r="Q762" i="4"/>
  <c r="Q763" i="4"/>
  <c r="S377" i="2"/>
  <c r="S375" i="2" s="1"/>
  <c r="P80" i="3"/>
  <c r="N96" i="3"/>
  <c r="N94" i="3" s="1"/>
  <c r="R119" i="3"/>
  <c r="R117" i="3" s="1"/>
  <c r="L119" i="3"/>
  <c r="O119" i="3" s="1"/>
  <c r="M163" i="3"/>
  <c r="P163" i="3" s="1"/>
  <c r="M192" i="3"/>
  <c r="P192" i="3" s="1"/>
  <c r="R268" i="3"/>
  <c r="R266" i="3" s="1"/>
  <c r="M519" i="3"/>
  <c r="P519" i="3" s="1"/>
  <c r="L561" i="3"/>
  <c r="O561" i="3" s="1"/>
  <c r="O581" i="3"/>
  <c r="R601" i="3"/>
  <c r="U601" i="3" s="1"/>
  <c r="S730" i="3"/>
  <c r="S728" i="3" s="1"/>
  <c r="T763" i="3"/>
  <c r="P19" i="4"/>
  <c r="T25" i="4"/>
  <c r="O64" i="4"/>
  <c r="L100" i="4"/>
  <c r="O100" i="4" s="1"/>
  <c r="O102" i="4"/>
  <c r="L120" i="4"/>
  <c r="O120" i="4" s="1"/>
  <c r="O122" i="4"/>
  <c r="L123" i="4"/>
  <c r="O123" i="4" s="1"/>
  <c r="O125" i="4"/>
  <c r="M142" i="4"/>
  <c r="P144" i="4"/>
  <c r="U189" i="4"/>
  <c r="N284" i="4"/>
  <c r="N282" i="4" s="1"/>
  <c r="N288" i="4"/>
  <c r="S378" i="4"/>
  <c r="U378" i="4" s="1"/>
  <c r="S377" i="4"/>
  <c r="S375" i="4" s="1"/>
  <c r="J456" i="4"/>
  <c r="K457" i="4"/>
  <c r="O60" i="4"/>
  <c r="L97" i="4"/>
  <c r="O97" i="4" s="1"/>
  <c r="O99" i="4"/>
  <c r="R123" i="4"/>
  <c r="U123" i="4" s="1"/>
  <c r="U125" i="4"/>
  <c r="S142" i="4"/>
  <c r="U144" i="4"/>
  <c r="P716" i="4"/>
  <c r="M714" i="4"/>
  <c r="P714" i="4" s="1"/>
  <c r="M339" i="2"/>
  <c r="P339" i="2" s="1"/>
  <c r="P162" i="3"/>
  <c r="L326" i="3"/>
  <c r="O326" i="3" s="1"/>
  <c r="S602" i="3"/>
  <c r="I615" i="3"/>
  <c r="K615" i="3" s="1"/>
  <c r="J689" i="3"/>
  <c r="N47" i="4"/>
  <c r="P47" i="4" s="1"/>
  <c r="P49" i="4"/>
  <c r="N23" i="4"/>
  <c r="N21" i="4" s="1"/>
  <c r="N74" i="4"/>
  <c r="N72" i="4" s="1"/>
  <c r="M141" i="4"/>
  <c r="R176" i="4"/>
  <c r="U176" i="4" s="1"/>
  <c r="U178" i="4"/>
  <c r="S282" i="4"/>
  <c r="P321" i="4"/>
  <c r="M378" i="4"/>
  <c r="P378" i="4" s="1"/>
  <c r="P380" i="4"/>
  <c r="M377" i="4"/>
  <c r="P377" i="4" s="1"/>
  <c r="M74" i="3"/>
  <c r="M72" i="3" s="1"/>
  <c r="Q145" i="3"/>
  <c r="T145" i="3" s="1"/>
  <c r="T178" i="3"/>
  <c r="N62" i="4"/>
  <c r="P62" i="4" s="1"/>
  <c r="P64" i="4"/>
  <c r="U73" i="4"/>
  <c r="R26" i="4"/>
  <c r="T140" i="4"/>
  <c r="R157" i="4"/>
  <c r="U157" i="4" s="1"/>
  <c r="U159" i="4"/>
  <c r="R160" i="4"/>
  <c r="U160" i="4" s="1"/>
  <c r="U162" i="4"/>
  <c r="U535" i="4"/>
  <c r="R534" i="4"/>
  <c r="U534" i="4" s="1"/>
  <c r="S95" i="1"/>
  <c r="S96" i="1"/>
  <c r="M622" i="1"/>
  <c r="P622" i="1" s="1"/>
  <c r="M46" i="2"/>
  <c r="M44" i="2" s="1"/>
  <c r="O62" i="2"/>
  <c r="N159" i="2"/>
  <c r="N157" i="2" s="1"/>
  <c r="N74" i="3"/>
  <c r="N72" i="3" s="1"/>
  <c r="T75" i="3"/>
  <c r="O144" i="3"/>
  <c r="U147" i="3"/>
  <c r="U191" i="3"/>
  <c r="L203" i="3"/>
  <c r="O203" i="3" s="1"/>
  <c r="M358" i="3"/>
  <c r="M356" i="3" s="1"/>
  <c r="U378" i="3"/>
  <c r="K629" i="3"/>
  <c r="Q645" i="3"/>
  <c r="T645" i="3" s="1"/>
  <c r="U45" i="4"/>
  <c r="R44" i="4"/>
  <c r="U44" i="4" s="1"/>
  <c r="O73" i="4"/>
  <c r="R23" i="4"/>
  <c r="I82" i="4"/>
  <c r="K86" i="4"/>
  <c r="T144" i="4"/>
  <c r="L160" i="4"/>
  <c r="O160" i="4" s="1"/>
  <c r="O162" i="4"/>
  <c r="R175" i="4"/>
  <c r="U175" i="4" s="1"/>
  <c r="L176" i="4"/>
  <c r="O178" i="4"/>
  <c r="L179" i="4"/>
  <c r="O179" i="4" s="1"/>
  <c r="O181" i="4"/>
  <c r="O577" i="4"/>
  <c r="L100" i="1"/>
  <c r="O100" i="1" s="1"/>
  <c r="M120" i="2"/>
  <c r="P120" i="2" s="1"/>
  <c r="K631" i="3"/>
  <c r="Q644" i="3"/>
  <c r="T644" i="3" s="1"/>
  <c r="K784" i="3"/>
  <c r="M26" i="4"/>
  <c r="M24" i="4" s="1"/>
  <c r="P24" i="4" s="1"/>
  <c r="O45" i="4"/>
  <c r="U60" i="4"/>
  <c r="R59" i="4"/>
  <c r="U59" i="4" s="1"/>
  <c r="R97" i="4"/>
  <c r="U97" i="4" s="1"/>
  <c r="U99" i="4"/>
  <c r="S145" i="4"/>
  <c r="U145" i="4" s="1"/>
  <c r="U147" i="4"/>
  <c r="L163" i="4"/>
  <c r="O163" i="4" s="1"/>
  <c r="O165" i="4"/>
  <c r="P187" i="4"/>
  <c r="T203" i="4"/>
  <c r="I253" i="4"/>
  <c r="K253" i="4" s="1"/>
  <c r="I238" i="4"/>
  <c r="K238" i="4" s="1"/>
  <c r="K260" i="4"/>
  <c r="O364" i="4"/>
  <c r="L358" i="4"/>
  <c r="T397" i="4"/>
  <c r="Q23" i="4"/>
  <c r="Q395" i="4"/>
  <c r="T395" i="4" s="1"/>
  <c r="N26" i="4"/>
  <c r="N24" i="4" s="1"/>
  <c r="O49" i="4"/>
  <c r="U77" i="4"/>
  <c r="O80" i="4"/>
  <c r="U80" i="4"/>
  <c r="I116" i="4"/>
  <c r="K116" i="4" s="1"/>
  <c r="P191" i="4"/>
  <c r="P194" i="4"/>
  <c r="N268" i="4"/>
  <c r="P290" i="4"/>
  <c r="M305" i="4"/>
  <c r="P305" i="4" s="1"/>
  <c r="S305" i="4"/>
  <c r="U305" i="4" s="1"/>
  <c r="M322" i="4"/>
  <c r="P322" i="4" s="1"/>
  <c r="R356" i="4"/>
  <c r="U356" i="4" s="1"/>
  <c r="P361" i="4"/>
  <c r="T418" i="4"/>
  <c r="Q415" i="4"/>
  <c r="O421" i="4"/>
  <c r="K485" i="4"/>
  <c r="R555" i="4"/>
  <c r="U555" i="4" s="1"/>
  <c r="T308" i="4"/>
  <c r="N359" i="4"/>
  <c r="N358" i="4"/>
  <c r="P393" i="4"/>
  <c r="M392" i="4"/>
  <c r="P392" i="4" s="1"/>
  <c r="N557" i="4"/>
  <c r="N555" i="4" s="1"/>
  <c r="N558" i="4"/>
  <c r="N579" i="4"/>
  <c r="N578" i="4"/>
  <c r="N576" i="4" s="1"/>
  <c r="S306" i="4"/>
  <c r="O328" i="4"/>
  <c r="L322" i="4"/>
  <c r="O322" i="4" s="1"/>
  <c r="O361" i="4"/>
  <c r="K456" i="4"/>
  <c r="O542" i="4"/>
  <c r="L536" i="4"/>
  <c r="T578" i="4"/>
  <c r="Q576" i="4"/>
  <c r="T576" i="4" s="1"/>
  <c r="P604" i="4"/>
  <c r="M602" i="4"/>
  <c r="P602" i="4" s="1"/>
  <c r="R94" i="4"/>
  <c r="U94" i="4" s="1"/>
  <c r="O290" i="4"/>
  <c r="L284" i="4"/>
  <c r="R333" i="4"/>
  <c r="U333" i="4" s="1"/>
  <c r="P338" i="4"/>
  <c r="M335" i="4"/>
  <c r="M336" i="4"/>
  <c r="P336" i="4" s="1"/>
  <c r="M339" i="4"/>
  <c r="P339" i="4" s="1"/>
  <c r="P341" i="4"/>
  <c r="T380" i="4"/>
  <c r="I423" i="4"/>
  <c r="K440" i="4"/>
  <c r="J503" i="4"/>
  <c r="J492" i="4" s="1"/>
  <c r="M516" i="4"/>
  <c r="P516" i="4" s="1"/>
  <c r="P518" i="4"/>
  <c r="M515" i="4"/>
  <c r="P515" i="4" s="1"/>
  <c r="P539" i="4"/>
  <c r="M536" i="4"/>
  <c r="P536" i="4" s="1"/>
  <c r="T621" i="4"/>
  <c r="Q618" i="4"/>
  <c r="T618" i="4" s="1"/>
  <c r="Q619" i="4"/>
  <c r="M46" i="4"/>
  <c r="M61" i="4"/>
  <c r="I83" i="4"/>
  <c r="I242" i="4"/>
  <c r="Q305" i="4"/>
  <c r="U380" i="4"/>
  <c r="U414" i="4"/>
  <c r="N415" i="4"/>
  <c r="N413" i="4" s="1"/>
  <c r="N416" i="4"/>
  <c r="O416" i="4" s="1"/>
  <c r="T498" i="4"/>
  <c r="K504" i="4"/>
  <c r="M537" i="4"/>
  <c r="P537" i="4" s="1"/>
  <c r="O584" i="4"/>
  <c r="L578" i="4"/>
  <c r="O578" i="4" s="1"/>
  <c r="T600" i="4"/>
  <c r="M616" i="4"/>
  <c r="P616" i="4" s="1"/>
  <c r="P618" i="4"/>
  <c r="P643" i="4"/>
  <c r="M642" i="4"/>
  <c r="P642" i="4" s="1"/>
  <c r="R377" i="4"/>
  <c r="J374" i="4"/>
  <c r="L392" i="4"/>
  <c r="O392" i="4" s="1"/>
  <c r="P418" i="4"/>
  <c r="Q534" i="4"/>
  <c r="T534" i="4" s="1"/>
  <c r="O560" i="4"/>
  <c r="L558" i="4"/>
  <c r="O558" i="4" s="1"/>
  <c r="M578" i="4"/>
  <c r="S642" i="4"/>
  <c r="P600" i="4"/>
  <c r="U695" i="4"/>
  <c r="R692" i="4"/>
  <c r="R693" i="4"/>
  <c r="U693" i="4" s="1"/>
  <c r="J332" i="4"/>
  <c r="K332" i="4" s="1"/>
  <c r="K432" i="4"/>
  <c r="Q513" i="4"/>
  <c r="T513" i="4" s="1"/>
  <c r="L557" i="4"/>
  <c r="T604" i="4"/>
  <c r="Q602" i="4"/>
  <c r="T602" i="4" s="1"/>
  <c r="Q605" i="4"/>
  <c r="T605" i="4" s="1"/>
  <c r="T607" i="4"/>
  <c r="L616" i="4"/>
  <c r="O616" i="4" s="1"/>
  <c r="N616" i="4"/>
  <c r="T715" i="4"/>
  <c r="Q714" i="4"/>
  <c r="T714" i="4" s="1"/>
  <c r="K615" i="4"/>
  <c r="K632" i="4"/>
  <c r="K630" i="4"/>
  <c r="K626" i="4"/>
  <c r="K631" i="4"/>
  <c r="P691" i="4"/>
  <c r="M690" i="4"/>
  <c r="P690" i="4" s="1"/>
  <c r="K726" i="4"/>
  <c r="U761" i="4"/>
  <c r="U621" i="4"/>
  <c r="S619" i="4"/>
  <c r="T729" i="4"/>
  <c r="O761" i="4"/>
  <c r="L760" i="4"/>
  <c r="O760" i="4" s="1"/>
  <c r="U647" i="4"/>
  <c r="R644" i="4"/>
  <c r="R645" i="4"/>
  <c r="U645" i="4" s="1"/>
  <c r="K759" i="4"/>
  <c r="R730" i="4"/>
  <c r="Q578" i="1"/>
  <c r="T578" i="1" s="1"/>
  <c r="K127" i="3"/>
  <c r="T144" i="3"/>
  <c r="P336" i="3"/>
  <c r="S415" i="3"/>
  <c r="U415" i="3" s="1"/>
  <c r="N557" i="3"/>
  <c r="N555" i="3" s="1"/>
  <c r="L582" i="3"/>
  <c r="O582" i="3" s="1"/>
  <c r="M605" i="3"/>
  <c r="P605" i="3" s="1"/>
  <c r="N284" i="2"/>
  <c r="N282" i="2" s="1"/>
  <c r="J701" i="2"/>
  <c r="N141" i="3"/>
  <c r="N139" i="3" s="1"/>
  <c r="T271" i="3"/>
  <c r="T306" i="3"/>
  <c r="K346" i="3"/>
  <c r="O290" i="2"/>
  <c r="U397" i="2"/>
  <c r="P67" i="3"/>
  <c r="U271" i="3"/>
  <c r="P287" i="3"/>
  <c r="Q305" i="3"/>
  <c r="Q303" i="3" s="1"/>
  <c r="I374" i="3"/>
  <c r="O418" i="3"/>
  <c r="R495" i="3"/>
  <c r="U495" i="3" s="1"/>
  <c r="T498" i="3"/>
  <c r="Q23" i="3"/>
  <c r="Q21" i="3" s="1"/>
  <c r="Q96" i="3"/>
  <c r="Q94" i="3" s="1"/>
  <c r="M159" i="3"/>
  <c r="M157" i="3" s="1"/>
  <c r="K198" i="3"/>
  <c r="L268" i="3"/>
  <c r="L266" i="3" s="1"/>
  <c r="O336" i="3"/>
  <c r="O383" i="3"/>
  <c r="S304" i="1"/>
  <c r="S305" i="1"/>
  <c r="L284" i="2"/>
  <c r="O284" i="2" s="1"/>
  <c r="P560" i="2"/>
  <c r="O52" i="3"/>
  <c r="O97" i="3"/>
  <c r="O99" i="3"/>
  <c r="M160" i="3"/>
  <c r="P160" i="3" s="1"/>
  <c r="R189" i="3"/>
  <c r="U189" i="3" s="1"/>
  <c r="K368" i="3"/>
  <c r="L377" i="3"/>
  <c r="L375" i="3" s="1"/>
  <c r="O521" i="3"/>
  <c r="L537" i="3"/>
  <c r="O537" i="3" s="1"/>
  <c r="T604" i="3"/>
  <c r="R413" i="3"/>
  <c r="S272" i="1"/>
  <c r="T77" i="3"/>
  <c r="M272" i="3"/>
  <c r="P272" i="3" s="1"/>
  <c r="R306" i="3"/>
  <c r="U306" i="3" s="1"/>
  <c r="T380" i="3"/>
  <c r="Q378" i="3"/>
  <c r="T378" i="3" s="1"/>
  <c r="R175" i="3"/>
  <c r="U175" i="3" s="1"/>
  <c r="M561" i="3"/>
  <c r="P561" i="3" s="1"/>
  <c r="P563" i="3"/>
  <c r="I138" i="3"/>
  <c r="K138" i="3" s="1"/>
  <c r="M309" i="3"/>
  <c r="P309" i="3" s="1"/>
  <c r="P311" i="3"/>
  <c r="L236" i="2"/>
  <c r="M495" i="2"/>
  <c r="M493" i="2" s="1"/>
  <c r="J702" i="2"/>
  <c r="P49" i="3"/>
  <c r="N61" i="3"/>
  <c r="N59" i="3" s="1"/>
  <c r="I92" i="3"/>
  <c r="K92" i="3" s="1"/>
  <c r="R97" i="3"/>
  <c r="U97" i="3" s="1"/>
  <c r="P97" i="3"/>
  <c r="T99" i="3"/>
  <c r="N119" i="3"/>
  <c r="N117" i="3" s="1"/>
  <c r="K154" i="3"/>
  <c r="I169" i="3"/>
  <c r="K169" i="3" s="1"/>
  <c r="L188" i="3"/>
  <c r="L186" i="3" s="1"/>
  <c r="T189" i="3"/>
  <c r="L236" i="3"/>
  <c r="O274" i="3"/>
  <c r="S305" i="3"/>
  <c r="M306" i="3"/>
  <c r="P306" i="3" s="1"/>
  <c r="P308" i="3"/>
  <c r="T308" i="3"/>
  <c r="J343" i="3"/>
  <c r="R416" i="3"/>
  <c r="U416" i="3" s="1"/>
  <c r="S496" i="3"/>
  <c r="T496" i="3" s="1"/>
  <c r="L495" i="3"/>
  <c r="L493" i="3" s="1"/>
  <c r="L496" i="3"/>
  <c r="P539" i="3"/>
  <c r="L558" i="3"/>
  <c r="O558" i="3" s="1"/>
  <c r="M557" i="3"/>
  <c r="P557" i="3" s="1"/>
  <c r="Q605" i="3"/>
  <c r="T605" i="3" s="1"/>
  <c r="Q601" i="3"/>
  <c r="T601" i="3" s="1"/>
  <c r="T607" i="3"/>
  <c r="K707" i="3"/>
  <c r="I689" i="3"/>
  <c r="R536" i="1"/>
  <c r="U536" i="1" s="1"/>
  <c r="N62" i="3"/>
  <c r="P62" i="3" s="1"/>
  <c r="K167" i="3"/>
  <c r="L516" i="3"/>
  <c r="O516" i="3" s="1"/>
  <c r="O518" i="3"/>
  <c r="Q74" i="2"/>
  <c r="T74" i="2" s="1"/>
  <c r="N495" i="2"/>
  <c r="N493" i="2" s="1"/>
  <c r="N47" i="3"/>
  <c r="P47" i="3" s="1"/>
  <c r="M65" i="3"/>
  <c r="P65" i="3" s="1"/>
  <c r="Q74" i="3"/>
  <c r="P77" i="3"/>
  <c r="Q78" i="3"/>
  <c r="T78" i="3" s="1"/>
  <c r="R96" i="3"/>
  <c r="L100" i="3"/>
  <c r="O100" i="3" s="1"/>
  <c r="Q119" i="3"/>
  <c r="Q117" i="3" s="1"/>
  <c r="S26" i="3"/>
  <c r="S24" i="3" s="1"/>
  <c r="I156" i="3"/>
  <c r="K156" i="3" s="1"/>
  <c r="Q159" i="3"/>
  <c r="T159" i="3" s="1"/>
  <c r="S176" i="3"/>
  <c r="M188" i="3"/>
  <c r="M186" i="3" s="1"/>
  <c r="U269" i="3"/>
  <c r="N305" i="3"/>
  <c r="N303" i="3" s="1"/>
  <c r="N306" i="3"/>
  <c r="U308" i="3"/>
  <c r="N335" i="3"/>
  <c r="N333" i="3" s="1"/>
  <c r="L362" i="3"/>
  <c r="O362" i="3" s="1"/>
  <c r="P364" i="3"/>
  <c r="J374" i="3"/>
  <c r="M416" i="3"/>
  <c r="P416" i="3" s="1"/>
  <c r="P418" i="3"/>
  <c r="N415" i="3"/>
  <c r="N413" i="3" s="1"/>
  <c r="N419" i="3"/>
  <c r="M495" i="3"/>
  <c r="M493" i="3" s="1"/>
  <c r="L499" i="3"/>
  <c r="O499" i="3" s="1"/>
  <c r="L515" i="3"/>
  <c r="O515" i="3" s="1"/>
  <c r="M516" i="3"/>
  <c r="P516" i="3" s="1"/>
  <c r="N515" i="3"/>
  <c r="N513" i="3" s="1"/>
  <c r="R618" i="3"/>
  <c r="R616" i="3" s="1"/>
  <c r="R619" i="3"/>
  <c r="K632" i="3"/>
  <c r="Q717" i="1"/>
  <c r="T717" i="1" s="1"/>
  <c r="P604" i="3"/>
  <c r="M602" i="3"/>
  <c r="P602" i="3" s="1"/>
  <c r="M601" i="3"/>
  <c r="S141" i="3"/>
  <c r="R393" i="1"/>
  <c r="U393" i="1" s="1"/>
  <c r="R74" i="2"/>
  <c r="U74" i="2" s="1"/>
  <c r="U77" i="2"/>
  <c r="U80" i="2"/>
  <c r="N119" i="2"/>
  <c r="N117" i="2" s="1"/>
  <c r="L268" i="2"/>
  <c r="L266" i="2" s="1"/>
  <c r="M381" i="2"/>
  <c r="P381" i="2" s="1"/>
  <c r="J374" i="2"/>
  <c r="Q26" i="3"/>
  <c r="T26" i="3" s="1"/>
  <c r="N46" i="3"/>
  <c r="N44" i="3" s="1"/>
  <c r="L61" i="3"/>
  <c r="L59" i="3" s="1"/>
  <c r="O67" i="3"/>
  <c r="L96" i="3"/>
  <c r="S96" i="3"/>
  <c r="S94" i="3" s="1"/>
  <c r="P99" i="3"/>
  <c r="P102" i="3"/>
  <c r="K116" i="3"/>
  <c r="M123" i="3"/>
  <c r="P123" i="3" s="1"/>
  <c r="L141" i="3"/>
  <c r="L139" i="3" s="1"/>
  <c r="Q142" i="3"/>
  <c r="T142" i="3" s="1"/>
  <c r="M141" i="3"/>
  <c r="M139" i="3" s="1"/>
  <c r="R159" i="3"/>
  <c r="U159" i="3" s="1"/>
  <c r="L175" i="3"/>
  <c r="O175" i="3" s="1"/>
  <c r="T194" i="3"/>
  <c r="L214" i="3"/>
  <c r="O214" i="3" s="1"/>
  <c r="L305" i="3"/>
  <c r="L303" i="3" s="1"/>
  <c r="O303" i="3" s="1"/>
  <c r="O308" i="3"/>
  <c r="P328" i="3"/>
  <c r="U380" i="3"/>
  <c r="T397" i="3"/>
  <c r="M415" i="3"/>
  <c r="M419" i="3"/>
  <c r="P419" i="3" s="1"/>
  <c r="M499" i="3"/>
  <c r="P499" i="3" s="1"/>
  <c r="N516" i="3"/>
  <c r="P579" i="3"/>
  <c r="N578" i="3"/>
  <c r="R602" i="3"/>
  <c r="U602" i="3" s="1"/>
  <c r="R605" i="3"/>
  <c r="U605" i="3" s="1"/>
  <c r="S618" i="3"/>
  <c r="S616" i="3" s="1"/>
  <c r="S619" i="3"/>
  <c r="T619" i="3" s="1"/>
  <c r="Q731" i="3"/>
  <c r="T731" i="3" s="1"/>
  <c r="T733" i="3"/>
  <c r="K780" i="3"/>
  <c r="L284" i="3"/>
  <c r="O284" i="3" s="1"/>
  <c r="I759" i="3"/>
  <c r="K759" i="3" s="1"/>
  <c r="K774" i="3"/>
  <c r="S73" i="1"/>
  <c r="S74" i="1"/>
  <c r="N95" i="1"/>
  <c r="J447" i="1"/>
  <c r="J441" i="1" s="1"/>
  <c r="K441" i="1" s="1"/>
  <c r="Q75" i="2"/>
  <c r="T75" i="2" s="1"/>
  <c r="Q192" i="2"/>
  <c r="T192" i="2" s="1"/>
  <c r="S601" i="2"/>
  <c r="S599" i="2" s="1"/>
  <c r="M23" i="3"/>
  <c r="M21" i="3" s="1"/>
  <c r="S74" i="3"/>
  <c r="N26" i="3"/>
  <c r="N24" i="3" s="1"/>
  <c r="M96" i="3"/>
  <c r="T97" i="3"/>
  <c r="S159" i="3"/>
  <c r="S157" i="3" s="1"/>
  <c r="Q188" i="3"/>
  <c r="Q186" i="3" s="1"/>
  <c r="I221" i="3"/>
  <c r="K221" i="3" s="1"/>
  <c r="L235" i="3"/>
  <c r="T269" i="3"/>
  <c r="M305" i="3"/>
  <c r="P305" i="3" s="1"/>
  <c r="O604" i="3"/>
  <c r="L602" i="3"/>
  <c r="O602" i="3" s="1"/>
  <c r="K778" i="3"/>
  <c r="K371" i="3"/>
  <c r="J674" i="3"/>
  <c r="T765" i="3"/>
  <c r="P359" i="3"/>
  <c r="P361" i="3"/>
  <c r="K369" i="3"/>
  <c r="U498" i="3"/>
  <c r="N536" i="3"/>
  <c r="N534" i="3" s="1"/>
  <c r="S60" i="1"/>
  <c r="L605" i="2"/>
  <c r="O605" i="2" s="1"/>
  <c r="N269" i="3"/>
  <c r="P269" i="3" s="1"/>
  <c r="O271" i="3"/>
  <c r="N268" i="3"/>
  <c r="J351" i="3"/>
  <c r="J332" i="3"/>
  <c r="K332" i="3" s="1"/>
  <c r="O67" i="1"/>
  <c r="L160" i="2"/>
  <c r="O160" i="2" s="1"/>
  <c r="M175" i="2"/>
  <c r="M173" i="2" s="1"/>
  <c r="L203" i="2"/>
  <c r="O203" i="2" s="1"/>
  <c r="K276" i="2"/>
  <c r="Q692" i="2"/>
  <c r="T692" i="2" s="1"/>
  <c r="L47" i="3"/>
  <c r="O49" i="3"/>
  <c r="L23" i="3"/>
  <c r="L21" i="3" s="1"/>
  <c r="L75" i="3"/>
  <c r="O75" i="3" s="1"/>
  <c r="O77" i="3"/>
  <c r="O118" i="3"/>
  <c r="S119" i="3"/>
  <c r="S23" i="3"/>
  <c r="K230" i="3"/>
  <c r="U118" i="3"/>
  <c r="P290" i="3"/>
  <c r="M284" i="3"/>
  <c r="P284" i="3" s="1"/>
  <c r="M26" i="3"/>
  <c r="P144" i="1"/>
  <c r="Q394" i="1"/>
  <c r="T394" i="1" s="1"/>
  <c r="O49" i="2"/>
  <c r="K127" i="2"/>
  <c r="I156" i="2"/>
  <c r="K156" i="2" s="1"/>
  <c r="Q175" i="2"/>
  <c r="Q173" i="2" s="1"/>
  <c r="T173" i="2" s="1"/>
  <c r="P181" i="2"/>
  <c r="N288" i="2"/>
  <c r="K456" i="2"/>
  <c r="O498" i="2"/>
  <c r="P75" i="3"/>
  <c r="R78" i="3"/>
  <c r="U78" i="3" s="1"/>
  <c r="U80" i="3"/>
  <c r="R26" i="3"/>
  <c r="U26" i="3" s="1"/>
  <c r="R142" i="3"/>
  <c r="U142" i="3" s="1"/>
  <c r="R141" i="3"/>
  <c r="U144" i="3"/>
  <c r="L254" i="3"/>
  <c r="O254" i="3" s="1"/>
  <c r="L233" i="3"/>
  <c r="N358" i="3"/>
  <c r="N356" i="3" s="1"/>
  <c r="N362" i="3"/>
  <c r="R763" i="1"/>
  <c r="S159" i="2"/>
  <c r="S157" i="2" s="1"/>
  <c r="M496" i="2"/>
  <c r="L96" i="2"/>
  <c r="O96" i="2" s="1"/>
  <c r="Q145" i="2"/>
  <c r="T145" i="2" s="1"/>
  <c r="S175" i="2"/>
  <c r="S173" i="2" s="1"/>
  <c r="L234" i="2"/>
  <c r="T647" i="2"/>
  <c r="I758" i="2"/>
  <c r="K758" i="2" s="1"/>
  <c r="L78" i="3"/>
  <c r="O78" i="3" s="1"/>
  <c r="O80" i="3"/>
  <c r="K85" i="3"/>
  <c r="I83" i="3"/>
  <c r="S120" i="3"/>
  <c r="T120" i="3" s="1"/>
  <c r="S537" i="1"/>
  <c r="I759" i="2"/>
  <c r="K759" i="2" s="1"/>
  <c r="K774" i="2"/>
  <c r="L62" i="3"/>
  <c r="O64" i="3"/>
  <c r="R100" i="1"/>
  <c r="U100" i="1" s="1"/>
  <c r="K136" i="1"/>
  <c r="L179" i="1"/>
  <c r="O179" i="1" s="1"/>
  <c r="Q305" i="1"/>
  <c r="N494" i="1"/>
  <c r="Q617" i="1"/>
  <c r="T617" i="1" s="1"/>
  <c r="S96" i="2"/>
  <c r="S94" i="2" s="1"/>
  <c r="N120" i="2"/>
  <c r="P191" i="2"/>
  <c r="L235" i="2"/>
  <c r="R394" i="2"/>
  <c r="U394" i="2" s="1"/>
  <c r="Q26" i="2"/>
  <c r="T26" i="2" s="1"/>
  <c r="J675" i="2"/>
  <c r="L46" i="3"/>
  <c r="L44" i="3" s="1"/>
  <c r="I82" i="3"/>
  <c r="S123" i="3"/>
  <c r="I172" i="3"/>
  <c r="K172" i="3" s="1"/>
  <c r="K183" i="3"/>
  <c r="P304" i="3"/>
  <c r="N323" i="3"/>
  <c r="O323" i="3" s="1"/>
  <c r="N322" i="3"/>
  <c r="N320" i="3" s="1"/>
  <c r="N61" i="2"/>
  <c r="N59" i="2" s="1"/>
  <c r="K780" i="1"/>
  <c r="K783" i="1"/>
  <c r="P67" i="2"/>
  <c r="I93" i="2"/>
  <c r="K93" i="2" s="1"/>
  <c r="M377" i="2"/>
  <c r="M375" i="2" s="1"/>
  <c r="L415" i="2"/>
  <c r="L413" i="2" s="1"/>
  <c r="L74" i="3"/>
  <c r="R75" i="3"/>
  <c r="U75" i="3" s="1"/>
  <c r="U77" i="3"/>
  <c r="R23" i="3"/>
  <c r="P140" i="3"/>
  <c r="L26" i="3"/>
  <c r="M46" i="3"/>
  <c r="M61" i="3"/>
  <c r="M120" i="3"/>
  <c r="P120" i="3" s="1"/>
  <c r="L120" i="3"/>
  <c r="O120" i="3" s="1"/>
  <c r="O122" i="3"/>
  <c r="T122" i="3"/>
  <c r="L123" i="3"/>
  <c r="O123" i="3" s="1"/>
  <c r="O125" i="3"/>
  <c r="T125" i="3"/>
  <c r="O158" i="3"/>
  <c r="T162" i="3"/>
  <c r="M179" i="3"/>
  <c r="P179" i="3" s="1"/>
  <c r="T191" i="3"/>
  <c r="L222" i="3"/>
  <c r="O222" i="3" s="1"/>
  <c r="N284" i="3"/>
  <c r="N282" i="3" s="1"/>
  <c r="O341" i="3"/>
  <c r="L335" i="3"/>
  <c r="L359" i="3"/>
  <c r="O359" i="3" s="1"/>
  <c r="O361" i="3"/>
  <c r="L358" i="3"/>
  <c r="T376" i="3"/>
  <c r="Q375" i="3"/>
  <c r="O494" i="3"/>
  <c r="M142" i="3"/>
  <c r="P142" i="3" s="1"/>
  <c r="P144" i="3"/>
  <c r="N189" i="3"/>
  <c r="P189" i="3" s="1"/>
  <c r="O191" i="3"/>
  <c r="U376" i="3"/>
  <c r="P380" i="3"/>
  <c r="M377" i="3"/>
  <c r="P394" i="3"/>
  <c r="M392" i="3"/>
  <c r="P392" i="3" s="1"/>
  <c r="T418" i="3"/>
  <c r="Q416" i="3"/>
  <c r="T416" i="3" s="1"/>
  <c r="N23" i="3"/>
  <c r="K86" i="3"/>
  <c r="M145" i="3"/>
  <c r="P145" i="3" s="1"/>
  <c r="P147" i="3"/>
  <c r="K152" i="3"/>
  <c r="T158" i="3"/>
  <c r="N159" i="3"/>
  <c r="N157" i="3" s="1"/>
  <c r="M175" i="3"/>
  <c r="P191" i="3"/>
  <c r="U304" i="3"/>
  <c r="R303" i="3"/>
  <c r="O321" i="3"/>
  <c r="N378" i="3"/>
  <c r="O378" i="3" s="1"/>
  <c r="O380" i="3"/>
  <c r="Q415" i="3"/>
  <c r="M540" i="3"/>
  <c r="P540" i="3" s="1"/>
  <c r="P542" i="3"/>
  <c r="M536" i="3"/>
  <c r="P536" i="3" s="1"/>
  <c r="R44" i="3"/>
  <c r="U44" i="3" s="1"/>
  <c r="R59" i="3"/>
  <c r="U59" i="3" s="1"/>
  <c r="U140" i="3"/>
  <c r="T174" i="3"/>
  <c r="T267" i="3"/>
  <c r="K276" i="3"/>
  <c r="I265" i="3"/>
  <c r="K265" i="3" s="1"/>
  <c r="U283" i="3"/>
  <c r="R282" i="3"/>
  <c r="U282" i="3" s="1"/>
  <c r="K292" i="3"/>
  <c r="I281" i="3"/>
  <c r="K281" i="3" s="1"/>
  <c r="P334" i="3"/>
  <c r="P338" i="3"/>
  <c r="M335" i="3"/>
  <c r="U397" i="3"/>
  <c r="R394" i="3"/>
  <c r="N602" i="3"/>
  <c r="N601" i="3"/>
  <c r="N599" i="3" s="1"/>
  <c r="K778" i="2"/>
  <c r="K781" i="2"/>
  <c r="M119" i="3"/>
  <c r="R120" i="3"/>
  <c r="U122" i="3"/>
  <c r="R123" i="3"/>
  <c r="U123" i="3" s="1"/>
  <c r="U125" i="3"/>
  <c r="O140" i="3"/>
  <c r="O147" i="3"/>
  <c r="Q175" i="3"/>
  <c r="T175" i="3" s="1"/>
  <c r="I238" i="3"/>
  <c r="K238" i="3" s="1"/>
  <c r="I242" i="3"/>
  <c r="K249" i="3"/>
  <c r="U267" i="3"/>
  <c r="P271" i="3"/>
  <c r="M268" i="3"/>
  <c r="L288" i="3"/>
  <c r="O288" i="3" s="1"/>
  <c r="O290" i="3"/>
  <c r="K293" i="3"/>
  <c r="I280" i="3"/>
  <c r="K280" i="3" s="1"/>
  <c r="L309" i="3"/>
  <c r="O309" i="3" s="1"/>
  <c r="M323" i="3"/>
  <c r="M322" i="3"/>
  <c r="P325" i="3"/>
  <c r="N377" i="3"/>
  <c r="M378" i="3"/>
  <c r="K220" i="3"/>
  <c r="I213" i="3"/>
  <c r="K213" i="3" s="1"/>
  <c r="O325" i="3"/>
  <c r="K458" i="3"/>
  <c r="O514" i="3"/>
  <c r="R763" i="3"/>
  <c r="U763" i="3" s="1"/>
  <c r="R762" i="3"/>
  <c r="R760" i="3" s="1"/>
  <c r="U765" i="3"/>
  <c r="P498" i="3"/>
  <c r="N496" i="3"/>
  <c r="P496" i="3" s="1"/>
  <c r="P514" i="3"/>
  <c r="M558" i="3"/>
  <c r="P558" i="3" s="1"/>
  <c r="P560" i="3"/>
  <c r="L714" i="3"/>
  <c r="O714" i="3" s="1"/>
  <c r="O715" i="3"/>
  <c r="O162" i="3"/>
  <c r="U162" i="3"/>
  <c r="O165" i="3"/>
  <c r="O178" i="3"/>
  <c r="U178" i="3"/>
  <c r="O181" i="3"/>
  <c r="K260" i="3"/>
  <c r="I253" i="3"/>
  <c r="K253" i="3" s="1"/>
  <c r="O287" i="3"/>
  <c r="L322" i="3"/>
  <c r="N495" i="3"/>
  <c r="T691" i="3"/>
  <c r="K705" i="3"/>
  <c r="I701" i="3"/>
  <c r="L243" i="3"/>
  <c r="I319" i="3"/>
  <c r="K319" i="3" s="1"/>
  <c r="R320" i="3"/>
  <c r="U320" i="3" s="1"/>
  <c r="O338" i="3"/>
  <c r="O421" i="3"/>
  <c r="L415" i="3"/>
  <c r="I423" i="3"/>
  <c r="U494" i="3"/>
  <c r="K503" i="3"/>
  <c r="K457" i="3"/>
  <c r="O498" i="3"/>
  <c r="U514" i="3"/>
  <c r="R513" i="3"/>
  <c r="U513" i="3" s="1"/>
  <c r="O542" i="3"/>
  <c r="L536" i="3"/>
  <c r="S576" i="3"/>
  <c r="P581" i="3"/>
  <c r="Q618" i="3"/>
  <c r="T621" i="3"/>
  <c r="O729" i="3"/>
  <c r="U695" i="3"/>
  <c r="U731" i="3"/>
  <c r="T695" i="3"/>
  <c r="S693" i="3"/>
  <c r="U693" i="3" s="1"/>
  <c r="P535" i="3"/>
  <c r="U600" i="3"/>
  <c r="J702" i="3"/>
  <c r="K772" i="3"/>
  <c r="I758" i="3"/>
  <c r="K758" i="3" s="1"/>
  <c r="U418" i="3"/>
  <c r="K492" i="3"/>
  <c r="L557" i="3"/>
  <c r="T643" i="3"/>
  <c r="S692" i="3"/>
  <c r="S690" i="3" s="1"/>
  <c r="K727" i="3"/>
  <c r="U729" i="3"/>
  <c r="P761" i="3"/>
  <c r="M515" i="3"/>
  <c r="P515" i="3" s="1"/>
  <c r="K626" i="3"/>
  <c r="R730" i="3"/>
  <c r="U733" i="3"/>
  <c r="S762" i="3"/>
  <c r="S760" i="3" s="1"/>
  <c r="U621" i="3"/>
  <c r="M642" i="3"/>
  <c r="P642" i="3" s="1"/>
  <c r="M690" i="3"/>
  <c r="P690" i="3" s="1"/>
  <c r="Q714" i="3"/>
  <c r="T714" i="3" s="1"/>
  <c r="Q728" i="3"/>
  <c r="L760" i="3"/>
  <c r="O760" i="3" s="1"/>
  <c r="L578" i="3"/>
  <c r="R644" i="3"/>
  <c r="R692" i="3"/>
  <c r="Q762" i="3"/>
  <c r="T159" i="2"/>
  <c r="Q157" i="2"/>
  <c r="T157" i="2" s="1"/>
  <c r="M359" i="1"/>
  <c r="M556" i="1"/>
  <c r="P556" i="1" s="1"/>
  <c r="N618" i="1"/>
  <c r="K627" i="1"/>
  <c r="K703" i="1"/>
  <c r="K740" i="1"/>
  <c r="M50" i="2"/>
  <c r="P50" i="2" s="1"/>
  <c r="Q23" i="2"/>
  <c r="R145" i="2"/>
  <c r="U145" i="2" s="1"/>
  <c r="L159" i="2"/>
  <c r="O159" i="2" s="1"/>
  <c r="N160" i="2"/>
  <c r="O521" i="2"/>
  <c r="N557" i="2"/>
  <c r="N555" i="2" s="1"/>
  <c r="P584" i="2"/>
  <c r="K629" i="2"/>
  <c r="R644" i="2"/>
  <c r="R642" i="2" s="1"/>
  <c r="U642" i="2" s="1"/>
  <c r="R645" i="2"/>
  <c r="U645" i="2" s="1"/>
  <c r="T695" i="2"/>
  <c r="K705" i="2"/>
  <c r="S75" i="1"/>
  <c r="J467" i="1"/>
  <c r="Q495" i="1"/>
  <c r="K746" i="1"/>
  <c r="M159" i="2"/>
  <c r="P159" i="2" s="1"/>
  <c r="Q160" i="2"/>
  <c r="T160" i="2" s="1"/>
  <c r="T162" i="2"/>
  <c r="O165" i="2"/>
  <c r="T178" i="2"/>
  <c r="L233" i="2"/>
  <c r="K265" i="2"/>
  <c r="L326" i="2"/>
  <c r="O326" i="2" s="1"/>
  <c r="I374" i="2"/>
  <c r="S644" i="2"/>
  <c r="S642" i="2" s="1"/>
  <c r="M119" i="2"/>
  <c r="P119" i="2" s="1"/>
  <c r="Q141" i="2"/>
  <c r="T141" i="2" s="1"/>
  <c r="L141" i="2"/>
  <c r="O141" i="2" s="1"/>
  <c r="T144" i="2"/>
  <c r="O147" i="2"/>
  <c r="K371" i="2"/>
  <c r="T418" i="2"/>
  <c r="S693" i="2"/>
  <c r="T693" i="2" s="1"/>
  <c r="S495" i="1"/>
  <c r="M729" i="1"/>
  <c r="P729" i="1" s="1"/>
  <c r="I82" i="2"/>
  <c r="K82" i="2" s="1"/>
  <c r="L222" i="2"/>
  <c r="O222" i="2" s="1"/>
  <c r="M305" i="2"/>
  <c r="P305" i="2" s="1"/>
  <c r="P325" i="2"/>
  <c r="K346" i="2"/>
  <c r="K369" i="2"/>
  <c r="Q415" i="2"/>
  <c r="Q413" i="2" s="1"/>
  <c r="M415" i="2"/>
  <c r="M413" i="2" s="1"/>
  <c r="K458" i="2"/>
  <c r="N496" i="2"/>
  <c r="O496" i="2" s="1"/>
  <c r="P498" i="2"/>
  <c r="I615" i="2"/>
  <c r="K615" i="2" s="1"/>
  <c r="R618" i="2"/>
  <c r="R616" i="2" s="1"/>
  <c r="K709" i="2"/>
  <c r="S306" i="1"/>
  <c r="M123" i="2"/>
  <c r="P123" i="2" s="1"/>
  <c r="R61" i="1"/>
  <c r="U61" i="1" s="1"/>
  <c r="N141" i="1"/>
  <c r="K153" i="1"/>
  <c r="S174" i="1"/>
  <c r="L617" i="1"/>
  <c r="O617" i="1" s="1"/>
  <c r="N189" i="2"/>
  <c r="O189" i="2" s="1"/>
  <c r="I213" i="2"/>
  <c r="K213" i="2" s="1"/>
  <c r="U765" i="2"/>
  <c r="K785" i="2"/>
  <c r="K784" i="2"/>
  <c r="K779" i="2"/>
  <c r="K780" i="2"/>
  <c r="R516" i="1"/>
  <c r="U516" i="1" s="1"/>
  <c r="N74" i="1"/>
  <c r="R118" i="1"/>
  <c r="U118" i="1" s="1"/>
  <c r="R119" i="1"/>
  <c r="U119" i="1" s="1"/>
  <c r="Q119" i="1"/>
  <c r="T119" i="1" s="1"/>
  <c r="M267" i="1"/>
  <c r="P267" i="1" s="1"/>
  <c r="N283" i="1"/>
  <c r="M284" i="1"/>
  <c r="L304" i="1"/>
  <c r="O304" i="1" s="1"/>
  <c r="N304" i="1"/>
  <c r="I374" i="1"/>
  <c r="K374" i="1" s="1"/>
  <c r="P418" i="1"/>
  <c r="R192" i="2"/>
  <c r="U192" i="2" s="1"/>
  <c r="U194" i="2"/>
  <c r="P269" i="2"/>
  <c r="M268" i="2"/>
  <c r="M266" i="2" s="1"/>
  <c r="M288" i="2"/>
  <c r="P288" i="2" s="1"/>
  <c r="P290" i="2"/>
  <c r="T308" i="2"/>
  <c r="Q306" i="2"/>
  <c r="T306" i="2" s="1"/>
  <c r="Q305" i="2"/>
  <c r="T305" i="2" s="1"/>
  <c r="S605" i="2"/>
  <c r="M605" i="2"/>
  <c r="P605" i="2" s="1"/>
  <c r="P607" i="2"/>
  <c r="M601" i="2"/>
  <c r="L540" i="1"/>
  <c r="O540" i="1" s="1"/>
  <c r="S62" i="1"/>
  <c r="M95" i="1"/>
  <c r="P95" i="1" s="1"/>
  <c r="S579" i="1"/>
  <c r="S577" i="1"/>
  <c r="N26" i="2"/>
  <c r="N24" i="2" s="1"/>
  <c r="O52" i="2"/>
  <c r="L46" i="2"/>
  <c r="L44" i="2" s="1"/>
  <c r="L50" i="2"/>
  <c r="O50" i="2" s="1"/>
  <c r="S75" i="2"/>
  <c r="S74" i="2"/>
  <c r="S72" i="2" s="1"/>
  <c r="S23" i="2"/>
  <c r="S21" i="2" s="1"/>
  <c r="L339" i="2"/>
  <c r="O339" i="2" s="1"/>
  <c r="O341" i="2"/>
  <c r="R415" i="2"/>
  <c r="R416" i="2"/>
  <c r="U416" i="2" s="1"/>
  <c r="P518" i="2"/>
  <c r="M516" i="2"/>
  <c r="P516" i="2" s="1"/>
  <c r="P147" i="2"/>
  <c r="M145" i="2"/>
  <c r="P145" i="2" s="1"/>
  <c r="M141" i="2"/>
  <c r="P141" i="2" s="1"/>
  <c r="Q73" i="1"/>
  <c r="T73" i="1" s="1"/>
  <c r="R176" i="1"/>
  <c r="Q175" i="1"/>
  <c r="L267" i="1"/>
  <c r="O267" i="1" s="1"/>
  <c r="N269" i="1"/>
  <c r="L75" i="2"/>
  <c r="O75" i="2" s="1"/>
  <c r="O77" i="2"/>
  <c r="L74" i="2"/>
  <c r="O74" i="2" s="1"/>
  <c r="O80" i="2"/>
  <c r="L78" i="2"/>
  <c r="O78" i="2" s="1"/>
  <c r="O361" i="2"/>
  <c r="L359" i="2"/>
  <c r="O359" i="2" s="1"/>
  <c r="L540" i="2"/>
  <c r="O540" i="2" s="1"/>
  <c r="O542" i="2"/>
  <c r="U604" i="2"/>
  <c r="R601" i="2"/>
  <c r="Q494" i="1"/>
  <c r="T494" i="1" s="1"/>
  <c r="L96" i="1"/>
  <c r="T191" i="1"/>
  <c r="S267" i="1"/>
  <c r="Q285" i="1"/>
  <c r="T285" i="1" s="1"/>
  <c r="Q283" i="1"/>
  <c r="T283" i="1" s="1"/>
  <c r="L515" i="1"/>
  <c r="O515" i="1" s="1"/>
  <c r="N514" i="1"/>
  <c r="N513" i="1" s="1"/>
  <c r="I137" i="2"/>
  <c r="K137" i="2" s="1"/>
  <c r="K152" i="2"/>
  <c r="P274" i="2"/>
  <c r="M272" i="2"/>
  <c r="P272" i="2" s="1"/>
  <c r="I319" i="2"/>
  <c r="K319" i="2" s="1"/>
  <c r="K330" i="2"/>
  <c r="K440" i="2"/>
  <c r="I423" i="2"/>
  <c r="S619" i="2"/>
  <c r="U619" i="2" s="1"/>
  <c r="S618" i="2"/>
  <c r="S616" i="2" s="1"/>
  <c r="U621" i="2"/>
  <c r="U695" i="2"/>
  <c r="R693" i="2"/>
  <c r="R692" i="2"/>
  <c r="R690" i="2" s="1"/>
  <c r="U690" i="2" s="1"/>
  <c r="K292" i="2"/>
  <c r="I281" i="2"/>
  <c r="K281" i="2" s="1"/>
  <c r="L141" i="1"/>
  <c r="M145" i="1"/>
  <c r="P145" i="1" s="1"/>
  <c r="S158" i="1"/>
  <c r="M175" i="1"/>
  <c r="P175" i="1" s="1"/>
  <c r="Q188" i="1"/>
  <c r="S284" i="1"/>
  <c r="R283" i="1"/>
  <c r="U283" i="1" s="1"/>
  <c r="N416" i="1"/>
  <c r="L494" i="1"/>
  <c r="O494" i="1" s="1"/>
  <c r="R515" i="1"/>
  <c r="U515" i="1" s="1"/>
  <c r="N96" i="2"/>
  <c r="N94" i="2" s="1"/>
  <c r="R160" i="2"/>
  <c r="U160" i="2" s="1"/>
  <c r="U162" i="2"/>
  <c r="R159" i="2"/>
  <c r="R175" i="2"/>
  <c r="U178" i="2"/>
  <c r="R176" i="2"/>
  <c r="U176" i="2" s="1"/>
  <c r="S268" i="2"/>
  <c r="S266" i="2" s="1"/>
  <c r="S269" i="2"/>
  <c r="R602" i="2"/>
  <c r="U602" i="2" s="1"/>
  <c r="L602" i="2"/>
  <c r="O602" i="2" s="1"/>
  <c r="O604" i="2"/>
  <c r="L601" i="2"/>
  <c r="Q731" i="2"/>
  <c r="T733" i="2"/>
  <c r="S618" i="1"/>
  <c r="L691" i="1"/>
  <c r="O691" i="1" s="1"/>
  <c r="K770" i="1"/>
  <c r="T80" i="2"/>
  <c r="I136" i="2"/>
  <c r="K136" i="2" s="1"/>
  <c r="I172" i="2"/>
  <c r="K172" i="2" s="1"/>
  <c r="L175" i="2"/>
  <c r="L173" i="2" s="1"/>
  <c r="M188" i="2"/>
  <c r="M186" i="2" s="1"/>
  <c r="P359" i="2"/>
  <c r="K368" i="2"/>
  <c r="R762" i="2"/>
  <c r="R760" i="2" s="1"/>
  <c r="O65" i="2"/>
  <c r="L377" i="2"/>
  <c r="L375" i="2" s="1"/>
  <c r="J674" i="2"/>
  <c r="J689" i="2"/>
  <c r="M65" i="2"/>
  <c r="P65" i="2" s="1"/>
  <c r="K86" i="2"/>
  <c r="N188" i="2"/>
  <c r="N186" i="2" s="1"/>
  <c r="P271" i="2"/>
  <c r="L335" i="2"/>
  <c r="L333" i="2" s="1"/>
  <c r="N358" i="2"/>
  <c r="N356" i="2" s="1"/>
  <c r="N377" i="2"/>
  <c r="L419" i="2"/>
  <c r="O419" i="2" s="1"/>
  <c r="U498" i="2"/>
  <c r="N46" i="2"/>
  <c r="N44" i="2" s="1"/>
  <c r="N47" i="2"/>
  <c r="O47" i="2" s="1"/>
  <c r="N74" i="2"/>
  <c r="N72" i="2" s="1"/>
  <c r="R23" i="2"/>
  <c r="R21" i="2" s="1"/>
  <c r="L26" i="2"/>
  <c r="L179" i="2"/>
  <c r="O179" i="2" s="1"/>
  <c r="L254" i="2"/>
  <c r="O254" i="2" s="1"/>
  <c r="N268" i="2"/>
  <c r="M284" i="2"/>
  <c r="P284" i="2" s="1"/>
  <c r="O325" i="2"/>
  <c r="P361" i="2"/>
  <c r="P380" i="2"/>
  <c r="K386" i="2"/>
  <c r="S394" i="2"/>
  <c r="S392" i="2" s="1"/>
  <c r="L495" i="2"/>
  <c r="P542" i="2"/>
  <c r="N601" i="2"/>
  <c r="N599" i="2" s="1"/>
  <c r="P604" i="2"/>
  <c r="I689" i="2"/>
  <c r="L601" i="1"/>
  <c r="R605" i="1"/>
  <c r="U605" i="1" s="1"/>
  <c r="J675" i="1"/>
  <c r="J726" i="1"/>
  <c r="K726" i="1" s="1"/>
  <c r="O64" i="2"/>
  <c r="S119" i="2"/>
  <c r="S117" i="2" s="1"/>
  <c r="R26" i="2"/>
  <c r="U26" i="2" s="1"/>
  <c r="P165" i="2"/>
  <c r="M189" i="2"/>
  <c r="P336" i="2"/>
  <c r="P338" i="2"/>
  <c r="J351" i="2"/>
  <c r="S415" i="2"/>
  <c r="T416" i="2"/>
  <c r="L519" i="2"/>
  <c r="K632" i="2"/>
  <c r="Q644" i="2"/>
  <c r="T644" i="2" s="1"/>
  <c r="S731" i="2"/>
  <c r="U731" i="2" s="1"/>
  <c r="O539" i="1"/>
  <c r="L536" i="1"/>
  <c r="O536" i="1" s="1"/>
  <c r="S693" i="1"/>
  <c r="S691" i="1"/>
  <c r="P45" i="2"/>
  <c r="N176" i="2"/>
  <c r="P178" i="2"/>
  <c r="N175" i="2"/>
  <c r="N173" i="2" s="1"/>
  <c r="O178" i="2"/>
  <c r="J82" i="1"/>
  <c r="J70" i="1" s="1"/>
  <c r="L158" i="1"/>
  <c r="O158" i="1" s="1"/>
  <c r="N163" i="1"/>
  <c r="L174" i="1"/>
  <c r="O174" i="1" s="1"/>
  <c r="R179" i="1"/>
  <c r="U179" i="1" s="1"/>
  <c r="N305" i="1"/>
  <c r="P765" i="1"/>
  <c r="M762" i="1"/>
  <c r="P762" i="1" s="1"/>
  <c r="M392" i="2"/>
  <c r="P392" i="2" s="1"/>
  <c r="P394" i="2"/>
  <c r="M73" i="1"/>
  <c r="P73" i="1" s="1"/>
  <c r="O767" i="1"/>
  <c r="L761" i="1"/>
  <c r="O761" i="1" s="1"/>
  <c r="L120" i="2"/>
  <c r="O120" i="2" s="1"/>
  <c r="O122" i="2"/>
  <c r="L119" i="2"/>
  <c r="O119" i="2" s="1"/>
  <c r="K88" i="1"/>
  <c r="Q140" i="1"/>
  <c r="T140" i="1" s="1"/>
  <c r="R158" i="1"/>
  <c r="U158" i="1" s="1"/>
  <c r="Q187" i="1"/>
  <c r="T187" i="1" s="1"/>
  <c r="O191" i="1"/>
  <c r="L188" i="1"/>
  <c r="O188" i="1" s="1"/>
  <c r="K295" i="1"/>
  <c r="R305" i="1"/>
  <c r="N419" i="1"/>
  <c r="U607" i="1"/>
  <c r="R601" i="1"/>
  <c r="U601" i="1" s="1"/>
  <c r="S78" i="2"/>
  <c r="S26" i="2"/>
  <c r="P99" i="2"/>
  <c r="M96" i="2"/>
  <c r="M97" i="2"/>
  <c r="P97" i="2" s="1"/>
  <c r="U77" i="1"/>
  <c r="K127" i="1"/>
  <c r="K130" i="1"/>
  <c r="R140" i="1"/>
  <c r="S159" i="1"/>
  <c r="M179" i="1"/>
  <c r="P179" i="1" s="1"/>
  <c r="T181" i="1"/>
  <c r="U310" i="1"/>
  <c r="R304" i="1"/>
  <c r="U304" i="1" s="1"/>
  <c r="P60" i="2"/>
  <c r="M75" i="2"/>
  <c r="P75" i="2" s="1"/>
  <c r="P77" i="2"/>
  <c r="M74" i="2"/>
  <c r="P74" i="2" s="1"/>
  <c r="N23" i="2"/>
  <c r="N141" i="2"/>
  <c r="N139" i="2" s="1"/>
  <c r="K153" i="2"/>
  <c r="I138" i="2"/>
  <c r="K138" i="2" s="1"/>
  <c r="I221" i="2"/>
  <c r="K221" i="2" s="1"/>
  <c r="K229" i="2"/>
  <c r="S419" i="1"/>
  <c r="O621" i="1"/>
  <c r="L618" i="1"/>
  <c r="O618" i="1" s="1"/>
  <c r="K89" i="1"/>
  <c r="O162" i="1"/>
  <c r="M163" i="1"/>
  <c r="P163" i="1" s="1"/>
  <c r="M269" i="1"/>
  <c r="P270" i="1"/>
  <c r="N272" i="1"/>
  <c r="P328" i="1"/>
  <c r="U337" i="1"/>
  <c r="R334" i="1"/>
  <c r="U334" i="1" s="1"/>
  <c r="J351" i="1"/>
  <c r="M600" i="1"/>
  <c r="P600" i="1" s="1"/>
  <c r="P603" i="1"/>
  <c r="N715" i="1"/>
  <c r="P102" i="2"/>
  <c r="M100" i="2"/>
  <c r="P100" i="2" s="1"/>
  <c r="M26" i="2"/>
  <c r="M305" i="1"/>
  <c r="L74" i="1"/>
  <c r="R96" i="1"/>
  <c r="K128" i="1"/>
  <c r="S141" i="1"/>
  <c r="M158" i="1"/>
  <c r="P158" i="1" s="1"/>
  <c r="M159" i="1"/>
  <c r="Q179" i="1"/>
  <c r="T179" i="1" s="1"/>
  <c r="T271" i="1"/>
  <c r="Q376" i="1"/>
  <c r="T376" i="1" s="1"/>
  <c r="Q377" i="1"/>
  <c r="K386" i="1"/>
  <c r="S416" i="1"/>
  <c r="S414" i="1"/>
  <c r="M62" i="2"/>
  <c r="P62" i="2" s="1"/>
  <c r="P64" i="2"/>
  <c r="M61" i="2"/>
  <c r="M23" i="2"/>
  <c r="O73" i="2"/>
  <c r="Q284" i="1"/>
  <c r="T284" i="1" s="1"/>
  <c r="K296" i="1"/>
  <c r="U308" i="1"/>
  <c r="Q322" i="1"/>
  <c r="T322" i="1" s="1"/>
  <c r="N362" i="1"/>
  <c r="K368" i="1"/>
  <c r="J460" i="1"/>
  <c r="M495" i="1"/>
  <c r="L557" i="1"/>
  <c r="O557" i="1" s="1"/>
  <c r="P581" i="1"/>
  <c r="S648" i="1"/>
  <c r="J701" i="1"/>
  <c r="R715" i="1"/>
  <c r="U715" i="1" s="1"/>
  <c r="N720" i="1"/>
  <c r="N761" i="1"/>
  <c r="N762" i="1"/>
  <c r="L23" i="2"/>
  <c r="P73" i="2"/>
  <c r="M78" i="2"/>
  <c r="P78" i="2" s="1"/>
  <c r="P80" i="2"/>
  <c r="Q123" i="2"/>
  <c r="T123" i="2" s="1"/>
  <c r="T125" i="2"/>
  <c r="K198" i="2"/>
  <c r="I195" i="2"/>
  <c r="K195" i="2" s="1"/>
  <c r="Q602" i="2"/>
  <c r="T602" i="2" s="1"/>
  <c r="T604" i="2"/>
  <c r="Q601" i="2"/>
  <c r="M716" i="1"/>
  <c r="P716" i="1" s="1"/>
  <c r="Q97" i="2"/>
  <c r="T97" i="2" s="1"/>
  <c r="T99" i="2"/>
  <c r="R123" i="2"/>
  <c r="U123" i="2" s="1"/>
  <c r="U125" i="2"/>
  <c r="T140" i="2"/>
  <c r="R142" i="2"/>
  <c r="U142" i="2" s="1"/>
  <c r="U144" i="2"/>
  <c r="I238" i="2"/>
  <c r="K238" i="2" s="1"/>
  <c r="K249" i="2"/>
  <c r="I242" i="2"/>
  <c r="Q266" i="2"/>
  <c r="T304" i="2"/>
  <c r="R303" i="2"/>
  <c r="U303" i="2" s="1"/>
  <c r="U305" i="2"/>
  <c r="L309" i="2"/>
  <c r="O309" i="2" s="1"/>
  <c r="O311" i="2"/>
  <c r="L305" i="2"/>
  <c r="M419" i="2"/>
  <c r="P419" i="2" s="1"/>
  <c r="P421" i="2"/>
  <c r="I492" i="2"/>
  <c r="K492" i="2" s="1"/>
  <c r="K503" i="2"/>
  <c r="L305" i="1"/>
  <c r="K369" i="1"/>
  <c r="M47" i="2"/>
  <c r="P49" i="2"/>
  <c r="Q59" i="2"/>
  <c r="T59" i="2" s="1"/>
  <c r="U60" i="2"/>
  <c r="R59" i="2"/>
  <c r="U59" i="2" s="1"/>
  <c r="T95" i="2"/>
  <c r="R97" i="2"/>
  <c r="U97" i="2" s="1"/>
  <c r="U99" i="2"/>
  <c r="Q120" i="2"/>
  <c r="T120" i="2" s="1"/>
  <c r="T122" i="2"/>
  <c r="U140" i="2"/>
  <c r="R141" i="2"/>
  <c r="U141" i="2" s="1"/>
  <c r="P187" i="2"/>
  <c r="T191" i="2"/>
  <c r="Q189" i="2"/>
  <c r="T189" i="2" s="1"/>
  <c r="Q188" i="2"/>
  <c r="R269" i="2"/>
  <c r="U271" i="2"/>
  <c r="R268" i="2"/>
  <c r="L272" i="2"/>
  <c r="O272" i="2" s="1"/>
  <c r="O274" i="2"/>
  <c r="S306" i="2"/>
  <c r="S305" i="2"/>
  <c r="S303" i="2" s="1"/>
  <c r="N416" i="2"/>
  <c r="O416" i="2" s="1"/>
  <c r="N415" i="2"/>
  <c r="M326" i="1"/>
  <c r="O328" i="1"/>
  <c r="K346" i="1"/>
  <c r="Q414" i="1"/>
  <c r="T414" i="1" s="1"/>
  <c r="J425" i="1"/>
  <c r="K425" i="1" s="1"/>
  <c r="J433" i="1"/>
  <c r="K433" i="1" s="1"/>
  <c r="R494" i="1"/>
  <c r="U494" i="1" s="1"/>
  <c r="Q577" i="1"/>
  <c r="T577" i="1" s="1"/>
  <c r="R579" i="1"/>
  <c r="U579" i="1" s="1"/>
  <c r="S578" i="1"/>
  <c r="Q622" i="1"/>
  <c r="T622" i="1" s="1"/>
  <c r="K653" i="1"/>
  <c r="M691" i="1"/>
  <c r="P691" i="1" s="1"/>
  <c r="Q691" i="1"/>
  <c r="T691" i="1" s="1"/>
  <c r="N692" i="1"/>
  <c r="N690" i="1" s="1"/>
  <c r="U45" i="2"/>
  <c r="R44" i="2"/>
  <c r="U44" i="2" s="1"/>
  <c r="O67" i="2"/>
  <c r="L61" i="2"/>
  <c r="U73" i="2"/>
  <c r="I83" i="2"/>
  <c r="Q96" i="2"/>
  <c r="T96" i="2" s="1"/>
  <c r="I92" i="2"/>
  <c r="K92" i="2" s="1"/>
  <c r="K108" i="2"/>
  <c r="T118" i="2"/>
  <c r="R120" i="2"/>
  <c r="U120" i="2" s="1"/>
  <c r="U122" i="2"/>
  <c r="L123" i="2"/>
  <c r="O123" i="2" s="1"/>
  <c r="O125" i="2"/>
  <c r="O140" i="2"/>
  <c r="S141" i="2"/>
  <c r="S139" i="2" s="1"/>
  <c r="L142" i="2"/>
  <c r="O142" i="2" s="1"/>
  <c r="O144" i="2"/>
  <c r="M160" i="2"/>
  <c r="P160" i="2" s="1"/>
  <c r="P162" i="2"/>
  <c r="R189" i="2"/>
  <c r="U189" i="2" s="1"/>
  <c r="U191" i="2"/>
  <c r="R188" i="2"/>
  <c r="M192" i="2"/>
  <c r="P192" i="2" s="1"/>
  <c r="P194" i="2"/>
  <c r="I202" i="2"/>
  <c r="K202" i="2" s="1"/>
  <c r="K209" i="2"/>
  <c r="S494" i="1"/>
  <c r="R644" i="1"/>
  <c r="S729" i="1"/>
  <c r="O45" i="2"/>
  <c r="S44" i="2"/>
  <c r="O60" i="2"/>
  <c r="R96" i="2"/>
  <c r="U96" i="2" s="1"/>
  <c r="L97" i="2"/>
  <c r="O97" i="2" s="1"/>
  <c r="O99" i="2"/>
  <c r="L100" i="2"/>
  <c r="O100" i="2" s="1"/>
  <c r="O102" i="2"/>
  <c r="Q119" i="2"/>
  <c r="M142" i="2"/>
  <c r="P142" i="2" s="1"/>
  <c r="P144" i="2"/>
  <c r="O191" i="2"/>
  <c r="L188" i="2"/>
  <c r="S188" i="2"/>
  <c r="S186" i="2" s="1"/>
  <c r="N326" i="2"/>
  <c r="N322" i="2"/>
  <c r="N320" i="2" s="1"/>
  <c r="T397" i="2"/>
  <c r="Q394" i="2"/>
  <c r="T394" i="2" s="1"/>
  <c r="Q395" i="2"/>
  <c r="T395" i="2" s="1"/>
  <c r="O194" i="2"/>
  <c r="I302" i="2"/>
  <c r="K302" i="2" s="1"/>
  <c r="L306" i="2"/>
  <c r="O306" i="2" s="1"/>
  <c r="O308" i="2"/>
  <c r="M309" i="2"/>
  <c r="P309" i="2" s="1"/>
  <c r="P311" i="2"/>
  <c r="J343" i="2"/>
  <c r="J332" i="2"/>
  <c r="K332" i="2" s="1"/>
  <c r="Q378" i="2"/>
  <c r="T378" i="2" s="1"/>
  <c r="T380" i="2"/>
  <c r="L499" i="2"/>
  <c r="O499" i="2" s="1"/>
  <c r="O501" i="2"/>
  <c r="T535" i="2"/>
  <c r="Q534" i="2"/>
  <c r="T534" i="2" s="1"/>
  <c r="M576" i="2"/>
  <c r="L214" i="2"/>
  <c r="O214" i="2" s="1"/>
  <c r="L243" i="2"/>
  <c r="L269" i="2"/>
  <c r="O269" i="2" s="1"/>
  <c r="O271" i="2"/>
  <c r="T283" i="2"/>
  <c r="Q282" i="2"/>
  <c r="T282" i="2" s="1"/>
  <c r="I280" i="2"/>
  <c r="K280" i="2" s="1"/>
  <c r="K293" i="2"/>
  <c r="M306" i="2"/>
  <c r="P306" i="2" s="1"/>
  <c r="P308" i="2"/>
  <c r="P378" i="2"/>
  <c r="R378" i="2"/>
  <c r="U378" i="2" s="1"/>
  <c r="U380" i="2"/>
  <c r="L381" i="2"/>
  <c r="O381" i="2" s="1"/>
  <c r="O383" i="2"/>
  <c r="T393" i="2"/>
  <c r="U418" i="2"/>
  <c r="T691" i="2"/>
  <c r="Q714" i="2"/>
  <c r="T714" i="2" s="1"/>
  <c r="T716" i="2"/>
  <c r="Q728" i="2"/>
  <c r="T728" i="2" s="1"/>
  <c r="T730" i="2"/>
  <c r="R282" i="2"/>
  <c r="U282" i="2" s="1"/>
  <c r="U284" i="2"/>
  <c r="Q333" i="2"/>
  <c r="T333" i="2" s="1"/>
  <c r="T335" i="2"/>
  <c r="N339" i="2"/>
  <c r="N335" i="2"/>
  <c r="N333" i="2" s="1"/>
  <c r="U393" i="2"/>
  <c r="T414" i="2"/>
  <c r="K457" i="2"/>
  <c r="M519" i="2"/>
  <c r="P521" i="2"/>
  <c r="M515" i="2"/>
  <c r="P556" i="2"/>
  <c r="L285" i="2"/>
  <c r="O285" i="2" s="1"/>
  <c r="O287" i="2"/>
  <c r="L336" i="2"/>
  <c r="O336" i="2" s="1"/>
  <c r="O338" i="2"/>
  <c r="L362" i="2"/>
  <c r="O362" i="2" s="1"/>
  <c r="O364" i="2"/>
  <c r="L358" i="2"/>
  <c r="R375" i="2"/>
  <c r="L378" i="2"/>
  <c r="O378" i="2" s="1"/>
  <c r="O380" i="2"/>
  <c r="O393" i="2"/>
  <c r="L392" i="2"/>
  <c r="O392" i="2" s="1"/>
  <c r="U414" i="2"/>
  <c r="O418" i="2"/>
  <c r="U617" i="2"/>
  <c r="Q269" i="2"/>
  <c r="T271" i="2"/>
  <c r="M285" i="2"/>
  <c r="P285" i="2" s="1"/>
  <c r="P287" i="2"/>
  <c r="R306" i="2"/>
  <c r="U306" i="2" s="1"/>
  <c r="U308" i="2"/>
  <c r="M326" i="2"/>
  <c r="P326" i="2" s="1"/>
  <c r="P328" i="2"/>
  <c r="M322" i="2"/>
  <c r="P357" i="2"/>
  <c r="M362" i="2"/>
  <c r="P362" i="2" s="1"/>
  <c r="P364" i="2"/>
  <c r="M358" i="2"/>
  <c r="Q375" i="2"/>
  <c r="O414" i="2"/>
  <c r="M416" i="2"/>
  <c r="P418" i="2"/>
  <c r="T498" i="2"/>
  <c r="Q495" i="2"/>
  <c r="U515" i="2"/>
  <c r="R513" i="2"/>
  <c r="U513" i="2" s="1"/>
  <c r="O518" i="2"/>
  <c r="L515" i="2"/>
  <c r="L516" i="2"/>
  <c r="O516" i="2" s="1"/>
  <c r="M534" i="2"/>
  <c r="P534" i="2" s="1"/>
  <c r="P536" i="2"/>
  <c r="Q605" i="2"/>
  <c r="T605" i="2" s="1"/>
  <c r="T607" i="2"/>
  <c r="O617" i="2"/>
  <c r="L616" i="2"/>
  <c r="O616" i="2" s="1"/>
  <c r="L322" i="2"/>
  <c r="N323" i="2"/>
  <c r="P323" i="2" s="1"/>
  <c r="M335" i="2"/>
  <c r="J365" i="2"/>
  <c r="K365" i="2" s="1"/>
  <c r="S496" i="2"/>
  <c r="U496" i="2" s="1"/>
  <c r="N519" i="2"/>
  <c r="N515" i="2"/>
  <c r="N513" i="2" s="1"/>
  <c r="R534" i="2"/>
  <c r="U534" i="2" s="1"/>
  <c r="U536" i="2"/>
  <c r="T577" i="2"/>
  <c r="Q576" i="2"/>
  <c r="T576" i="2" s="1"/>
  <c r="T621" i="2"/>
  <c r="Q618" i="2"/>
  <c r="Q616" i="2" s="1"/>
  <c r="Q619" i="2"/>
  <c r="M642" i="2"/>
  <c r="P642" i="2" s="1"/>
  <c r="P644" i="2"/>
  <c r="K726" i="2"/>
  <c r="L537" i="2"/>
  <c r="O537" i="2" s="1"/>
  <c r="O539" i="2"/>
  <c r="R576" i="2"/>
  <c r="U576" i="2" s="1"/>
  <c r="U578" i="2"/>
  <c r="T643" i="2"/>
  <c r="L760" i="2"/>
  <c r="O760" i="2" s="1"/>
  <c r="O762" i="2"/>
  <c r="M537" i="2"/>
  <c r="P537" i="2" s="1"/>
  <c r="P539" i="2"/>
  <c r="L561" i="2"/>
  <c r="O561" i="2" s="1"/>
  <c r="O563" i="2"/>
  <c r="L557" i="2"/>
  <c r="L579" i="2"/>
  <c r="O579" i="2" s="1"/>
  <c r="O581" i="2"/>
  <c r="I701" i="2"/>
  <c r="I253" i="2"/>
  <c r="K253" i="2" s="1"/>
  <c r="U494" i="2"/>
  <c r="Q513" i="2"/>
  <c r="T513" i="2" s="1"/>
  <c r="T515" i="2"/>
  <c r="L536" i="2"/>
  <c r="P558" i="2"/>
  <c r="M561" i="2"/>
  <c r="P561" i="2" s="1"/>
  <c r="P563" i="2"/>
  <c r="M557" i="2"/>
  <c r="M579" i="2"/>
  <c r="P579" i="2" s="1"/>
  <c r="P581" i="2"/>
  <c r="M690" i="2"/>
  <c r="P690" i="2" s="1"/>
  <c r="P692" i="2"/>
  <c r="N536" i="2"/>
  <c r="N534" i="2" s="1"/>
  <c r="N578" i="2"/>
  <c r="N576" i="2" s="1"/>
  <c r="K626" i="2"/>
  <c r="K630" i="2"/>
  <c r="R730" i="2"/>
  <c r="U733" i="2"/>
  <c r="S762" i="2"/>
  <c r="S760" i="2" s="1"/>
  <c r="P618" i="2"/>
  <c r="O644" i="2"/>
  <c r="O692" i="2"/>
  <c r="S763" i="2"/>
  <c r="T763" i="2" s="1"/>
  <c r="K167" i="1"/>
  <c r="L176" i="1"/>
  <c r="L187" i="1"/>
  <c r="O187" i="1" s="1"/>
  <c r="M188" i="1"/>
  <c r="M186" i="1" s="1"/>
  <c r="Q189" i="1"/>
  <c r="S189" i="1"/>
  <c r="J199" i="1"/>
  <c r="K228" i="1"/>
  <c r="N268" i="1"/>
  <c r="N266" i="1" s="1"/>
  <c r="K365" i="1"/>
  <c r="O768" i="1"/>
  <c r="L766" i="1"/>
  <c r="O766" i="1" s="1"/>
  <c r="R46" i="1"/>
  <c r="U46" i="1" s="1"/>
  <c r="R50" i="1"/>
  <c r="U50" i="1" s="1"/>
  <c r="P63" i="1"/>
  <c r="R145" i="1"/>
  <c r="Q268" i="1"/>
  <c r="Q496" i="1"/>
  <c r="T498" i="1"/>
  <c r="O562" i="1"/>
  <c r="L561" i="1"/>
  <c r="O561" i="1" s="1"/>
  <c r="L556" i="1"/>
  <c r="O556" i="1" s="1"/>
  <c r="N605" i="1"/>
  <c r="M62" i="1"/>
  <c r="U101" i="1"/>
  <c r="M26" i="1"/>
  <c r="M141" i="1"/>
  <c r="T161" i="1"/>
  <c r="M174" i="1"/>
  <c r="P174" i="1" s="1"/>
  <c r="N187" i="1"/>
  <c r="N186" i="1" s="1"/>
  <c r="Q192" i="1"/>
  <c r="T192" i="1" s="1"/>
  <c r="S192" i="1"/>
  <c r="R268" i="1"/>
  <c r="O271" i="1"/>
  <c r="M272" i="1"/>
  <c r="P272" i="1" s="1"/>
  <c r="K298" i="1"/>
  <c r="Q304" i="1"/>
  <c r="T304" i="1" s="1"/>
  <c r="O98" i="1"/>
  <c r="O99" i="1"/>
  <c r="U147" i="1"/>
  <c r="R267" i="1"/>
  <c r="U267" i="1" s="1"/>
  <c r="T538" i="1"/>
  <c r="Q535" i="1"/>
  <c r="T535" i="1" s="1"/>
  <c r="S602" i="1"/>
  <c r="S600" i="1"/>
  <c r="S599" i="1" s="1"/>
  <c r="R693" i="1"/>
  <c r="R691" i="1"/>
  <c r="R690" i="1" s="1"/>
  <c r="T122" i="1"/>
  <c r="T125" i="1"/>
  <c r="S163" i="1"/>
  <c r="M176" i="1"/>
  <c r="T560" i="1"/>
  <c r="Q557" i="1"/>
  <c r="T557" i="1" s="1"/>
  <c r="S734" i="1"/>
  <c r="L60" i="1"/>
  <c r="S97" i="1"/>
  <c r="K114" i="1"/>
  <c r="U125" i="1"/>
  <c r="N158" i="1"/>
  <c r="S222" i="1"/>
  <c r="U327" i="1"/>
  <c r="R326" i="1"/>
  <c r="U326" i="1" s="1"/>
  <c r="O417" i="1"/>
  <c r="L414" i="1"/>
  <c r="O414" i="1" s="1"/>
  <c r="R519" i="1"/>
  <c r="U519" i="1" s="1"/>
  <c r="U520" i="1"/>
  <c r="R561" i="1"/>
  <c r="U561" i="1" s="1"/>
  <c r="U562" i="1"/>
  <c r="L306" i="1"/>
  <c r="O341" i="1"/>
  <c r="J332" i="1"/>
  <c r="K332" i="1" s="1"/>
  <c r="M357" i="1"/>
  <c r="P357" i="1" s="1"/>
  <c r="N381" i="1"/>
  <c r="J446" i="1"/>
  <c r="J440" i="1" s="1"/>
  <c r="K440" i="1" s="1"/>
  <c r="R495" i="1"/>
  <c r="M514" i="1"/>
  <c r="P514" i="1" s="1"/>
  <c r="S514" i="1"/>
  <c r="O541" i="1"/>
  <c r="L579" i="1"/>
  <c r="O579" i="1" s="1"/>
  <c r="Q600" i="1"/>
  <c r="T600" i="1" s="1"/>
  <c r="M643" i="1"/>
  <c r="P643" i="1" s="1"/>
  <c r="S717" i="1"/>
  <c r="L729" i="1"/>
  <c r="O729" i="1" s="1"/>
  <c r="K744" i="1"/>
  <c r="J374" i="1"/>
  <c r="J484" i="1"/>
  <c r="K484" i="1" s="1"/>
  <c r="N495" i="1"/>
  <c r="N519" i="1"/>
  <c r="S519" i="1"/>
  <c r="R557" i="1"/>
  <c r="U557" i="1" s="1"/>
  <c r="S558" i="1"/>
  <c r="S561" i="1"/>
  <c r="M578" i="1"/>
  <c r="P578" i="1" s="1"/>
  <c r="Q582" i="1"/>
  <c r="T582" i="1" s="1"/>
  <c r="P604" i="1"/>
  <c r="T621" i="1"/>
  <c r="M696" i="1"/>
  <c r="P696" i="1" s="1"/>
  <c r="U765" i="1"/>
  <c r="Q321" i="1"/>
  <c r="T321" i="1" s="1"/>
  <c r="R376" i="1"/>
  <c r="U376" i="1" s="1"/>
  <c r="Q395" i="1"/>
  <c r="T395" i="1" s="1"/>
  <c r="L495" i="1"/>
  <c r="R499" i="1"/>
  <c r="U499" i="1" s="1"/>
  <c r="O521" i="1"/>
  <c r="N601" i="1"/>
  <c r="R618" i="1"/>
  <c r="S696" i="1"/>
  <c r="K709" i="1"/>
  <c r="K749" i="1"/>
  <c r="L762" i="1"/>
  <c r="O762" i="1" s="1"/>
  <c r="L395" i="1"/>
  <c r="O395" i="1" s="1"/>
  <c r="N415" i="1"/>
  <c r="N413" i="1" s="1"/>
  <c r="K506" i="1"/>
  <c r="K512" i="1"/>
  <c r="P520" i="1"/>
  <c r="M519" i="1"/>
  <c r="M536" i="1"/>
  <c r="P536" i="1" s="1"/>
  <c r="S536" i="1"/>
  <c r="M558" i="1"/>
  <c r="L577" i="1"/>
  <c r="O577" i="1" s="1"/>
  <c r="L582" i="1"/>
  <c r="O582" i="1" s="1"/>
  <c r="S644" i="1"/>
  <c r="S642" i="1" s="1"/>
  <c r="J674" i="1"/>
  <c r="N716" i="1"/>
  <c r="N309" i="1"/>
  <c r="Q323" i="1"/>
  <c r="T323" i="1" s="1"/>
  <c r="Q393" i="1"/>
  <c r="L499" i="1"/>
  <c r="O499" i="1" s="1"/>
  <c r="M516" i="1"/>
  <c r="P516" i="1" s="1"/>
  <c r="Q519" i="1"/>
  <c r="T519" i="1" s="1"/>
  <c r="K524" i="1"/>
  <c r="N535" i="1"/>
  <c r="N534" i="1" s="1"/>
  <c r="Q556" i="1"/>
  <c r="T556" i="1" s="1"/>
  <c r="U621" i="1"/>
  <c r="J632" i="1"/>
  <c r="J626" i="1" s="1"/>
  <c r="J615" i="1" s="1"/>
  <c r="N696" i="1"/>
  <c r="R729" i="1"/>
  <c r="R728" i="1" s="1"/>
  <c r="M734" i="1"/>
  <c r="P734" i="1" s="1"/>
  <c r="L763" i="1"/>
  <c r="O763" i="1" s="1"/>
  <c r="K778" i="1"/>
  <c r="K781" i="1"/>
  <c r="K784" i="1"/>
  <c r="J343" i="1"/>
  <c r="I412" i="1"/>
  <c r="M23" i="1"/>
  <c r="Q46" i="1"/>
  <c r="T46" i="1" s="1"/>
  <c r="S23" i="1"/>
  <c r="M78" i="1"/>
  <c r="P78" i="1" s="1"/>
  <c r="S120" i="1"/>
  <c r="S118" i="1"/>
  <c r="S117" i="1" s="1"/>
  <c r="N142" i="1"/>
  <c r="N140" i="1"/>
  <c r="L268" i="1"/>
  <c r="L284" i="1"/>
  <c r="N306" i="1"/>
  <c r="L357" i="1"/>
  <c r="O357" i="1" s="1"/>
  <c r="O360" i="1"/>
  <c r="T66" i="1"/>
  <c r="Q25" i="1"/>
  <c r="T25" i="1" s="1"/>
  <c r="N25" i="1"/>
  <c r="L46" i="1"/>
  <c r="L44" i="1" s="1"/>
  <c r="S65" i="1"/>
  <c r="S25" i="1"/>
  <c r="S61" i="1"/>
  <c r="S26" i="1"/>
  <c r="N75" i="1"/>
  <c r="N73" i="1"/>
  <c r="P77" i="1"/>
  <c r="M74" i="1"/>
  <c r="K109" i="1"/>
  <c r="I93" i="1"/>
  <c r="K93" i="1" s="1"/>
  <c r="I116" i="1"/>
  <c r="K116" i="1" s="1"/>
  <c r="L22" i="1"/>
  <c r="O22" i="1" s="1"/>
  <c r="M123" i="1"/>
  <c r="T124" i="1"/>
  <c r="Q118" i="1"/>
  <c r="T118" i="1" s="1"/>
  <c r="P161" i="1"/>
  <c r="T178" i="1"/>
  <c r="S175" i="1"/>
  <c r="K172" i="1"/>
  <c r="O52" i="1"/>
  <c r="L50" i="1"/>
  <c r="O50" i="1" s="1"/>
  <c r="P99" i="1"/>
  <c r="M97" i="1"/>
  <c r="M120" i="1"/>
  <c r="K152" i="1"/>
  <c r="I137" i="1"/>
  <c r="K137" i="1" s="1"/>
  <c r="O178" i="1"/>
  <c r="L175" i="1"/>
  <c r="T337" i="1"/>
  <c r="Q336" i="1"/>
  <c r="T336" i="1" s="1"/>
  <c r="Q334" i="1"/>
  <c r="T334" i="1" s="1"/>
  <c r="Q335" i="1"/>
  <c r="T335" i="1" s="1"/>
  <c r="T338" i="1"/>
  <c r="R97" i="1"/>
  <c r="U98" i="1"/>
  <c r="R95" i="1"/>
  <c r="Q176" i="1"/>
  <c r="T177" i="1"/>
  <c r="Q174" i="1"/>
  <c r="K85" i="1"/>
  <c r="I83" i="1"/>
  <c r="I71" i="1" s="1"/>
  <c r="M119" i="1"/>
  <c r="M75" i="1"/>
  <c r="T77" i="1"/>
  <c r="Q74" i="1"/>
  <c r="M96" i="1"/>
  <c r="P101" i="1"/>
  <c r="M25" i="1"/>
  <c r="P25" i="1" s="1"/>
  <c r="M100" i="1"/>
  <c r="P100" i="1" s="1"/>
  <c r="N118" i="1"/>
  <c r="S142" i="1"/>
  <c r="S140" i="1"/>
  <c r="M160" i="1"/>
  <c r="R187" i="1"/>
  <c r="U187" i="1" s="1"/>
  <c r="Q326" i="1"/>
  <c r="T326" i="1" s="1"/>
  <c r="T328" i="1"/>
  <c r="T361" i="1"/>
  <c r="Q358" i="1"/>
  <c r="T358" i="1" s="1"/>
  <c r="M362" i="1"/>
  <c r="P362" i="1" s="1"/>
  <c r="P535" i="1"/>
  <c r="Q60" i="1"/>
  <c r="T60" i="1" s="1"/>
  <c r="T63" i="1"/>
  <c r="Q22" i="1"/>
  <c r="T64" i="1"/>
  <c r="Q61" i="1"/>
  <c r="T61" i="1" s="1"/>
  <c r="K86" i="1"/>
  <c r="I82" i="1"/>
  <c r="T99" i="1"/>
  <c r="Q96" i="1"/>
  <c r="L142" i="1"/>
  <c r="O143" i="1"/>
  <c r="L140" i="1"/>
  <c r="S160" i="1"/>
  <c r="S285" i="1"/>
  <c r="S283" i="1"/>
  <c r="U287" i="1"/>
  <c r="R284" i="1"/>
  <c r="U284" i="1" s="1"/>
  <c r="R359" i="1"/>
  <c r="U359" i="1" s="1"/>
  <c r="U360" i="1"/>
  <c r="R357" i="1"/>
  <c r="U357" i="1" s="1"/>
  <c r="P364" i="1"/>
  <c r="M358" i="1"/>
  <c r="R192" i="1"/>
  <c r="U192" i="1" s="1"/>
  <c r="M304" i="1"/>
  <c r="T380" i="1"/>
  <c r="R73" i="1"/>
  <c r="U73" i="1" s="1"/>
  <c r="P121" i="1"/>
  <c r="N119" i="1"/>
  <c r="P162" i="1"/>
  <c r="K168" i="1"/>
  <c r="P178" i="1"/>
  <c r="L189" i="1"/>
  <c r="O189" i="1" s="1"/>
  <c r="L192" i="1"/>
  <c r="O192" i="1" s="1"/>
  <c r="L269" i="1"/>
  <c r="L272" i="1"/>
  <c r="O272" i="1" s="1"/>
  <c r="K299" i="1"/>
  <c r="S322" i="1"/>
  <c r="L362" i="1"/>
  <c r="O362" i="1" s="1"/>
  <c r="L393" i="1"/>
  <c r="L394" i="1"/>
  <c r="O394" i="1" s="1"/>
  <c r="R394" i="1"/>
  <c r="U394" i="1" s="1"/>
  <c r="R395" i="1"/>
  <c r="U395" i="1" s="1"/>
  <c r="O397" i="1"/>
  <c r="L398" i="1"/>
  <c r="O398" i="1" s="1"/>
  <c r="M494" i="1"/>
  <c r="U498" i="1"/>
  <c r="N499" i="1"/>
  <c r="U500" i="1"/>
  <c r="M540" i="1"/>
  <c r="P540" i="1" s="1"/>
  <c r="R716" i="1"/>
  <c r="U716" i="1" s="1"/>
  <c r="U719" i="1"/>
  <c r="R189" i="1"/>
  <c r="R558" i="1"/>
  <c r="U558" i="1" s="1"/>
  <c r="R556" i="1"/>
  <c r="U646" i="1"/>
  <c r="R643" i="1"/>
  <c r="U643" i="1" s="1"/>
  <c r="R47" i="1"/>
  <c r="U47" i="1" s="1"/>
  <c r="R62" i="1"/>
  <c r="U62" i="1" s="1"/>
  <c r="Q95" i="1"/>
  <c r="T95" i="1" s="1"/>
  <c r="N96" i="1"/>
  <c r="P49" i="1"/>
  <c r="L62" i="1"/>
  <c r="N65" i="1"/>
  <c r="P67" i="1"/>
  <c r="T79" i="1"/>
  <c r="K84" i="1"/>
  <c r="K90" i="1"/>
  <c r="U99" i="1"/>
  <c r="O101" i="1"/>
  <c r="K113" i="1"/>
  <c r="M118" i="1"/>
  <c r="P118" i="1" s="1"/>
  <c r="L119" i="1"/>
  <c r="K129" i="1"/>
  <c r="M140" i="1"/>
  <c r="M142" i="1"/>
  <c r="O144" i="1"/>
  <c r="K150" i="1"/>
  <c r="Q160" i="1"/>
  <c r="T160" i="1" s="1"/>
  <c r="Q163" i="1"/>
  <c r="T163" i="1" s="1"/>
  <c r="T180" i="1"/>
  <c r="P191" i="1"/>
  <c r="U191" i="1"/>
  <c r="U194" i="1"/>
  <c r="K209" i="1"/>
  <c r="K219" i="1"/>
  <c r="K238" i="1"/>
  <c r="K265" i="1"/>
  <c r="U271" i="1"/>
  <c r="Q288" i="1"/>
  <c r="T288" i="1" s="1"/>
  <c r="S288" i="1"/>
  <c r="M306" i="1"/>
  <c r="O307" i="1"/>
  <c r="O308" i="1"/>
  <c r="M309" i="1"/>
  <c r="P309" i="1" s="1"/>
  <c r="O310" i="1"/>
  <c r="R321" i="1"/>
  <c r="U321" i="1" s="1"/>
  <c r="K330" i="1"/>
  <c r="M335" i="1"/>
  <c r="P335" i="1" s="1"/>
  <c r="Q339" i="1"/>
  <c r="T339" i="1" s="1"/>
  <c r="N357" i="1"/>
  <c r="N356" i="1" s="1"/>
  <c r="P361" i="1"/>
  <c r="S376" i="1"/>
  <c r="N393" i="1"/>
  <c r="N392" i="1" s="1"/>
  <c r="M394" i="1"/>
  <c r="P394" i="1" s="1"/>
  <c r="Q398" i="1"/>
  <c r="T398" i="1" s="1"/>
  <c r="M414" i="1"/>
  <c r="P414" i="1" s="1"/>
  <c r="M419" i="1"/>
  <c r="P419" i="1" s="1"/>
  <c r="J459" i="1"/>
  <c r="M496" i="1"/>
  <c r="M499" i="1"/>
  <c r="P499" i="1" s="1"/>
  <c r="O500" i="1"/>
  <c r="K504" i="1"/>
  <c r="Q515" i="1"/>
  <c r="T515" i="1" s="1"/>
  <c r="P539" i="1"/>
  <c r="T559" i="1"/>
  <c r="M577" i="1"/>
  <c r="P577" i="1" s="1"/>
  <c r="R582" i="1"/>
  <c r="U582" i="1" s="1"/>
  <c r="S582" i="1"/>
  <c r="U620" i="1"/>
  <c r="R617" i="1"/>
  <c r="M693" i="1"/>
  <c r="P693" i="1" s="1"/>
  <c r="R766" i="1"/>
  <c r="U766" i="1" s="1"/>
  <c r="U768" i="1"/>
  <c r="K772" i="1"/>
  <c r="O196" i="1"/>
  <c r="K221" i="1"/>
  <c r="Q267" i="1"/>
  <c r="T267" i="1" s="1"/>
  <c r="R414" i="1"/>
  <c r="U414" i="1" s="1"/>
  <c r="S22" i="1"/>
  <c r="O47" i="1"/>
  <c r="M65" i="1"/>
  <c r="R74" i="1"/>
  <c r="J83" i="1"/>
  <c r="J71" i="1" s="1"/>
  <c r="L95" i="1"/>
  <c r="N97" i="1"/>
  <c r="U122" i="1"/>
  <c r="O125" i="1"/>
  <c r="K138" i="1"/>
  <c r="R142" i="1"/>
  <c r="T144" i="1"/>
  <c r="L145" i="1"/>
  <c r="O145" i="1" s="1"/>
  <c r="T147" i="1"/>
  <c r="N159" i="1"/>
  <c r="R174" i="1"/>
  <c r="U174" i="1" s="1"/>
  <c r="U178" i="1"/>
  <c r="N179" i="1"/>
  <c r="S179" i="1"/>
  <c r="K229" i="1"/>
  <c r="U270" i="1"/>
  <c r="U273" i="1"/>
  <c r="M283" i="1"/>
  <c r="P283" i="1" s="1"/>
  <c r="T289" i="1"/>
  <c r="P308" i="1"/>
  <c r="M322" i="1"/>
  <c r="P322" i="1" s="1"/>
  <c r="Q359" i="1"/>
  <c r="T359" i="1" s="1"/>
  <c r="M376" i="1"/>
  <c r="P376" i="1" s="1"/>
  <c r="P379" i="1"/>
  <c r="R398" i="1"/>
  <c r="U398" i="1" s="1"/>
  <c r="S496" i="1"/>
  <c r="R496" i="1"/>
  <c r="K505" i="1"/>
  <c r="R514" i="1"/>
  <c r="N516" i="1"/>
  <c r="P521" i="1"/>
  <c r="Q537" i="1"/>
  <c r="T537" i="1" s="1"/>
  <c r="S540" i="1"/>
  <c r="U559" i="1"/>
  <c r="N561" i="1"/>
  <c r="N577" i="1"/>
  <c r="N576" i="1" s="1"/>
  <c r="U584" i="1"/>
  <c r="R578" i="1"/>
  <c r="U578" i="1" s="1"/>
  <c r="U603" i="1"/>
  <c r="R602" i="1"/>
  <c r="U602" i="1" s="1"/>
  <c r="S619" i="1"/>
  <c r="U619" i="1" s="1"/>
  <c r="S617" i="1"/>
  <c r="I615" i="1"/>
  <c r="K630" i="1"/>
  <c r="K629" i="1"/>
  <c r="N693" i="1"/>
  <c r="P718" i="1"/>
  <c r="M715" i="1"/>
  <c r="M717" i="1"/>
  <c r="P717" i="1" s="1"/>
  <c r="S720" i="1"/>
  <c r="S715" i="1"/>
  <c r="S714" i="1" s="1"/>
  <c r="T722" i="1"/>
  <c r="Q716" i="1"/>
  <c r="T716" i="1" s="1"/>
  <c r="S730" i="1"/>
  <c r="S760" i="1"/>
  <c r="T764" i="1"/>
  <c r="Q761" i="1"/>
  <c r="L514" i="1"/>
  <c r="L516" i="1"/>
  <c r="O516" i="1" s="1"/>
  <c r="T520" i="1"/>
  <c r="O559" i="1"/>
  <c r="L619" i="1"/>
  <c r="O619" i="1" s="1"/>
  <c r="O620" i="1"/>
  <c r="J682" i="1"/>
  <c r="L692" i="1"/>
  <c r="O692" i="1" s="1"/>
  <c r="U695" i="1"/>
  <c r="S692" i="1"/>
  <c r="L716" i="1"/>
  <c r="O716" i="1" s="1"/>
  <c r="L720" i="1"/>
  <c r="O720" i="1" s="1"/>
  <c r="L715" i="1"/>
  <c r="O721" i="1"/>
  <c r="L730" i="1"/>
  <c r="O730" i="1" s="1"/>
  <c r="M731" i="1"/>
  <c r="P731" i="1" s="1"/>
  <c r="R761" i="1"/>
  <c r="U764" i="1"/>
  <c r="J432" i="1"/>
  <c r="J423" i="1" s="1"/>
  <c r="J412" i="1" s="1"/>
  <c r="J477" i="1"/>
  <c r="L496" i="1"/>
  <c r="P125" i="1"/>
  <c r="U144" i="1"/>
  <c r="K151" i="1"/>
  <c r="K183" i="1"/>
  <c r="P271" i="1"/>
  <c r="K276" i="1"/>
  <c r="R306" i="1"/>
  <c r="R309" i="1"/>
  <c r="U309" i="1" s="1"/>
  <c r="K319" i="1"/>
  <c r="N339" i="1"/>
  <c r="Q362" i="1"/>
  <c r="T362" i="1" s="1"/>
  <c r="R377" i="1"/>
  <c r="S393" i="1"/>
  <c r="S392" i="1" s="1"/>
  <c r="T418" i="1"/>
  <c r="J476" i="1"/>
  <c r="J485" i="1"/>
  <c r="K485" i="1" s="1"/>
  <c r="L519" i="1"/>
  <c r="P538" i="1"/>
  <c r="M537" i="1"/>
  <c r="P537" i="1" s="1"/>
  <c r="R577" i="1"/>
  <c r="U623" i="1"/>
  <c r="R622" i="1"/>
  <c r="U622" i="1" s="1"/>
  <c r="T647" i="1"/>
  <c r="M648" i="1"/>
  <c r="P648" i="1" s="1"/>
  <c r="P650" i="1"/>
  <c r="M692" i="1"/>
  <c r="P692" i="1" s="1"/>
  <c r="P721" i="1"/>
  <c r="M720" i="1"/>
  <c r="P720" i="1" s="1"/>
  <c r="N729" i="1"/>
  <c r="N728" i="1" s="1"/>
  <c r="M730" i="1"/>
  <c r="U733" i="1"/>
  <c r="S731" i="1"/>
  <c r="U731" i="1" s="1"/>
  <c r="K759" i="1"/>
  <c r="R540" i="1"/>
  <c r="U540" i="1" s="1"/>
  <c r="T583" i="1"/>
  <c r="S605" i="1"/>
  <c r="S622" i="1"/>
  <c r="J636" i="1"/>
  <c r="J635" i="1" s="1"/>
  <c r="N643" i="1"/>
  <c r="N642" i="1" s="1"/>
  <c r="Q644" i="1"/>
  <c r="Q648" i="1"/>
  <c r="T648" i="1" s="1"/>
  <c r="N648" i="1"/>
  <c r="J702" i="1"/>
  <c r="Q715" i="1"/>
  <c r="T715" i="1" s="1"/>
  <c r="K755" i="1"/>
  <c r="S763" i="1"/>
  <c r="U763" i="1" s="1"/>
  <c r="T765" i="1"/>
  <c r="Q766" i="1"/>
  <c r="T766" i="1" s="1"/>
  <c r="K774" i="1"/>
  <c r="N619" i="1"/>
  <c r="K628" i="1"/>
  <c r="L693" i="1"/>
  <c r="O693" i="1" s="1"/>
  <c r="L696" i="1"/>
  <c r="O696" i="1" s="1"/>
  <c r="R717" i="1"/>
  <c r="U717" i="1" s="1"/>
  <c r="Q720" i="1"/>
  <c r="T720" i="1" s="1"/>
  <c r="L731" i="1"/>
  <c r="O731" i="1" s="1"/>
  <c r="T733" i="1"/>
  <c r="L734" i="1"/>
  <c r="O734" i="1" s="1"/>
  <c r="N763" i="1"/>
  <c r="N540" i="1"/>
  <c r="U541" i="1"/>
  <c r="K575" i="1"/>
  <c r="Q579" i="1"/>
  <c r="T579" i="1" s="1"/>
  <c r="O581" i="1"/>
  <c r="M618" i="1"/>
  <c r="P618" i="1" s="1"/>
  <c r="Q619" i="1"/>
  <c r="U694" i="1"/>
  <c r="U697" i="1"/>
  <c r="L717" i="1"/>
  <c r="O717" i="1" s="1"/>
  <c r="R720" i="1"/>
  <c r="U720" i="1" s="1"/>
  <c r="U732" i="1"/>
  <c r="U735" i="1"/>
  <c r="K742" i="1"/>
  <c r="S766" i="1"/>
  <c r="K758" i="1"/>
  <c r="K779" i="1"/>
  <c r="K782" i="1"/>
  <c r="K785" i="1"/>
  <c r="N23" i="1"/>
  <c r="U162" i="1"/>
  <c r="R23" i="1"/>
  <c r="R159" i="1"/>
  <c r="Q23" i="1"/>
  <c r="N26" i="1"/>
  <c r="O45" i="1"/>
  <c r="S47" i="1"/>
  <c r="O49" i="1"/>
  <c r="T49" i="1"/>
  <c r="T52" i="1"/>
  <c r="U60" i="1"/>
  <c r="O66" i="1"/>
  <c r="L65" i="1"/>
  <c r="U79" i="1"/>
  <c r="R78" i="1"/>
  <c r="U78" i="1" s="1"/>
  <c r="K108" i="1"/>
  <c r="N120" i="1"/>
  <c r="P122" i="1"/>
  <c r="K154" i="1"/>
  <c r="O165" i="1"/>
  <c r="L26" i="1"/>
  <c r="O121" i="1"/>
  <c r="L120" i="1"/>
  <c r="O120" i="1" s="1"/>
  <c r="S46" i="1"/>
  <c r="S44" i="1" s="1"/>
  <c r="R22" i="1"/>
  <c r="N62" i="1"/>
  <c r="U63" i="1"/>
  <c r="Q141" i="1"/>
  <c r="O340" i="1"/>
  <c r="L339" i="1"/>
  <c r="L334" i="1"/>
  <c r="U66" i="1"/>
  <c r="R65" i="1"/>
  <c r="U65" i="1" s="1"/>
  <c r="L118" i="1"/>
  <c r="Q26" i="1"/>
  <c r="M46" i="1"/>
  <c r="O79" i="1"/>
  <c r="L78" i="1"/>
  <c r="O78" i="1" s="1"/>
  <c r="L25" i="1"/>
  <c r="R25" i="1"/>
  <c r="T45" i="1"/>
  <c r="N46" i="1"/>
  <c r="N44" i="1" s="1"/>
  <c r="M47" i="1"/>
  <c r="P47" i="1" s="1"/>
  <c r="P61" i="1"/>
  <c r="O63" i="1"/>
  <c r="O64" i="1"/>
  <c r="O76" i="1"/>
  <c r="L75" i="1"/>
  <c r="U124" i="1"/>
  <c r="R123" i="1"/>
  <c r="N176" i="1"/>
  <c r="N174" i="1"/>
  <c r="N173" i="1" s="1"/>
  <c r="N22" i="1"/>
  <c r="O361" i="1"/>
  <c r="L358" i="1"/>
  <c r="L359" i="1"/>
  <c r="L23" i="1"/>
  <c r="U364" i="1"/>
  <c r="R362" i="1"/>
  <c r="U362" i="1" s="1"/>
  <c r="R358" i="1"/>
  <c r="R26" i="1"/>
  <c r="K92" i="1"/>
  <c r="U76" i="1"/>
  <c r="R75" i="1"/>
  <c r="M50" i="1"/>
  <c r="P50" i="1" s="1"/>
  <c r="P64" i="1"/>
  <c r="L73" i="1"/>
  <c r="O77" i="1"/>
  <c r="N78" i="1"/>
  <c r="K87" i="1"/>
  <c r="U121" i="1"/>
  <c r="R120" i="1"/>
  <c r="O124" i="1"/>
  <c r="L123" i="1"/>
  <c r="O289" i="1"/>
  <c r="L288" i="1"/>
  <c r="O288" i="1" s="1"/>
  <c r="L283" i="1"/>
  <c r="K314" i="1"/>
  <c r="I302" i="1"/>
  <c r="K302" i="1" s="1"/>
  <c r="P764" i="1"/>
  <c r="M763" i="1"/>
  <c r="P763" i="1" s="1"/>
  <c r="M761" i="1"/>
  <c r="M22" i="1"/>
  <c r="Q62" i="1"/>
  <c r="T62" i="1" s="1"/>
  <c r="Q65" i="1"/>
  <c r="T65" i="1" s="1"/>
  <c r="Q75" i="1"/>
  <c r="Q120" i="1"/>
  <c r="Q123" i="1"/>
  <c r="Q159" i="1"/>
  <c r="T165" i="1"/>
  <c r="O286" i="1"/>
  <c r="L285" i="1"/>
  <c r="L322" i="1"/>
  <c r="O322" i="1" s="1"/>
  <c r="O325" i="1"/>
  <c r="R335" i="1"/>
  <c r="U335" i="1" s="1"/>
  <c r="U338" i="1"/>
  <c r="R336" i="1"/>
  <c r="U336" i="1" s="1"/>
  <c r="O376" i="1"/>
  <c r="L375" i="1"/>
  <c r="T162" i="1"/>
  <c r="L163" i="1"/>
  <c r="O163" i="1" s="1"/>
  <c r="R163" i="1"/>
  <c r="U163" i="1" s="1"/>
  <c r="J195" i="1"/>
  <c r="K195" i="1" s="1"/>
  <c r="K198" i="1"/>
  <c r="N288" i="1"/>
  <c r="J280" i="1"/>
  <c r="K280" i="1" s="1"/>
  <c r="K293" i="1"/>
  <c r="Q306" i="1"/>
  <c r="T308" i="1"/>
  <c r="Q309" i="1"/>
  <c r="T309" i="1" s="1"/>
  <c r="T311" i="1"/>
  <c r="N323" i="1"/>
  <c r="N321" i="1"/>
  <c r="N320" i="1" s="1"/>
  <c r="R416" i="1"/>
  <c r="U418" i="1"/>
  <c r="R415" i="1"/>
  <c r="L159" i="1"/>
  <c r="P187" i="1"/>
  <c r="P190" i="1"/>
  <c r="M189" i="1"/>
  <c r="P189" i="1" s="1"/>
  <c r="P193" i="1"/>
  <c r="M192" i="1"/>
  <c r="P192" i="1" s="1"/>
  <c r="J213" i="1"/>
  <c r="K213" i="1" s="1"/>
  <c r="K220" i="1"/>
  <c r="I185" i="1"/>
  <c r="K185" i="1" s="1"/>
  <c r="K230" i="1"/>
  <c r="L335" i="1"/>
  <c r="O335" i="1" s="1"/>
  <c r="O338" i="1"/>
  <c r="L336" i="1"/>
  <c r="T357" i="1"/>
  <c r="Q97" i="1"/>
  <c r="Q100" i="1"/>
  <c r="T100" i="1" s="1"/>
  <c r="Q142" i="1"/>
  <c r="Q145" i="1"/>
  <c r="L160" i="1"/>
  <c r="R160" i="1"/>
  <c r="U160" i="1" s="1"/>
  <c r="N285" i="1"/>
  <c r="P287" i="1"/>
  <c r="O287" i="1"/>
  <c r="U289" i="1"/>
  <c r="R288" i="1"/>
  <c r="U288" i="1" s="1"/>
  <c r="S326" i="1"/>
  <c r="S321" i="1"/>
  <c r="N334" i="1"/>
  <c r="N333" i="1" s="1"/>
  <c r="N336" i="1"/>
  <c r="U341" i="1"/>
  <c r="R339" i="1"/>
  <c r="U339" i="1" s="1"/>
  <c r="N377" i="1"/>
  <c r="N378" i="1"/>
  <c r="P378" i="1" s="1"/>
  <c r="L537" i="1"/>
  <c r="O537" i="1" s="1"/>
  <c r="O538" i="1"/>
  <c r="L535" i="1"/>
  <c r="O164" i="1"/>
  <c r="U269" i="1"/>
  <c r="N284" i="1"/>
  <c r="U286" i="1"/>
  <c r="R285" i="1"/>
  <c r="U285" i="1" s="1"/>
  <c r="K281" i="1"/>
  <c r="R322" i="1"/>
  <c r="U322" i="1" s="1"/>
  <c r="U325" i="1"/>
  <c r="R323" i="1"/>
  <c r="U323" i="1" s="1"/>
  <c r="O327" i="1"/>
  <c r="L326" i="1"/>
  <c r="L321" i="1"/>
  <c r="S339" i="1"/>
  <c r="S334" i="1"/>
  <c r="S333" i="1" s="1"/>
  <c r="S359" i="1"/>
  <c r="S358" i="1"/>
  <c r="P383" i="1"/>
  <c r="M377" i="1"/>
  <c r="S176" i="1"/>
  <c r="T379" i="1"/>
  <c r="Q378" i="1"/>
  <c r="T378" i="1" s="1"/>
  <c r="P396" i="1"/>
  <c r="M395" i="1"/>
  <c r="P395" i="1" s="1"/>
  <c r="L419" i="1"/>
  <c r="O419" i="1" s="1"/>
  <c r="O421" i="1"/>
  <c r="T562" i="1"/>
  <c r="Q561" i="1"/>
  <c r="T561" i="1" s="1"/>
  <c r="T695" i="1"/>
  <c r="Q692" i="1"/>
  <c r="K705" i="1"/>
  <c r="I701" i="1"/>
  <c r="Q734" i="1"/>
  <c r="T734" i="1" s="1"/>
  <c r="T736" i="1"/>
  <c r="M321" i="1"/>
  <c r="L323" i="1"/>
  <c r="P341" i="1"/>
  <c r="K371" i="1"/>
  <c r="S377" i="1"/>
  <c r="U379" i="1"/>
  <c r="R378" i="1"/>
  <c r="U378" i="1" s="1"/>
  <c r="U380" i="1"/>
  <c r="T382" i="1"/>
  <c r="Q381" i="1"/>
  <c r="T381" i="1" s="1"/>
  <c r="S415" i="1"/>
  <c r="T415" i="1" s="1"/>
  <c r="M416" i="1"/>
  <c r="L416" i="1"/>
  <c r="O418" i="1"/>
  <c r="K492" i="1"/>
  <c r="S516" i="1"/>
  <c r="S515" i="1"/>
  <c r="M285" i="1"/>
  <c r="M288" i="1"/>
  <c r="P288" i="1" s="1"/>
  <c r="P327" i="1"/>
  <c r="M334" i="1"/>
  <c r="P340" i="1"/>
  <c r="O379" i="1"/>
  <c r="L378" i="1"/>
  <c r="U382" i="1"/>
  <c r="R381" i="1"/>
  <c r="U381" i="1" s="1"/>
  <c r="P399" i="1"/>
  <c r="M398" i="1"/>
  <c r="P398" i="1" s="1"/>
  <c r="L415" i="1"/>
  <c r="N558" i="1"/>
  <c r="N556" i="1"/>
  <c r="N555" i="1" s="1"/>
  <c r="Q269" i="1"/>
  <c r="T269" i="1" s="1"/>
  <c r="Q272" i="1"/>
  <c r="T272" i="1" s="1"/>
  <c r="K292" i="1"/>
  <c r="S323" i="1"/>
  <c r="P325" i="1"/>
  <c r="S336" i="1"/>
  <c r="P338" i="1"/>
  <c r="T360" i="1"/>
  <c r="O380" i="1"/>
  <c r="O382" i="1"/>
  <c r="L381" i="1"/>
  <c r="O381" i="1" s="1"/>
  <c r="M415" i="1"/>
  <c r="T420" i="1"/>
  <c r="Q419" i="1"/>
  <c r="T419" i="1" s="1"/>
  <c r="I456" i="1"/>
  <c r="Q499" i="1"/>
  <c r="T499" i="1" s="1"/>
  <c r="T501" i="1"/>
  <c r="R537" i="1"/>
  <c r="U537" i="1" s="1"/>
  <c r="U538" i="1"/>
  <c r="R535" i="1"/>
  <c r="Q540" i="1"/>
  <c r="T540" i="1" s="1"/>
  <c r="T542" i="1"/>
  <c r="N602" i="1"/>
  <c r="N600" i="1"/>
  <c r="I156" i="1"/>
  <c r="K156" i="1" s="1"/>
  <c r="I202" i="1"/>
  <c r="K202" i="1" s="1"/>
  <c r="M323" i="1"/>
  <c r="M336" i="1"/>
  <c r="T363" i="1"/>
  <c r="P380" i="1"/>
  <c r="M381" i="1"/>
  <c r="P381" i="1" s="1"/>
  <c r="M393" i="1"/>
  <c r="T417" i="1"/>
  <c r="Q416" i="1"/>
  <c r="R419" i="1"/>
  <c r="U419" i="1" s="1"/>
  <c r="U421" i="1"/>
  <c r="P557" i="1"/>
  <c r="M605" i="1"/>
  <c r="P605" i="1" s="1"/>
  <c r="P607" i="1"/>
  <c r="M601" i="1"/>
  <c r="J468" i="1"/>
  <c r="P498" i="1"/>
  <c r="O498" i="1"/>
  <c r="K507" i="1"/>
  <c r="Q605" i="1"/>
  <c r="T605" i="1" s="1"/>
  <c r="T606" i="1"/>
  <c r="L622" i="1"/>
  <c r="O622" i="1" s="1"/>
  <c r="O623" i="1"/>
  <c r="N537" i="1"/>
  <c r="T604" i="1"/>
  <c r="Q601" i="1"/>
  <c r="T601" i="1" s="1"/>
  <c r="O646" i="1"/>
  <c r="L645" i="1"/>
  <c r="O645" i="1" s="1"/>
  <c r="L643" i="1"/>
  <c r="J424" i="1"/>
  <c r="K424" i="1" s="1"/>
  <c r="N496" i="1"/>
  <c r="U497" i="1"/>
  <c r="Q514" i="1"/>
  <c r="M515" i="1"/>
  <c r="T517" i="1"/>
  <c r="Q536" i="1"/>
  <c r="S557" i="1"/>
  <c r="P560" i="1"/>
  <c r="M561" i="1"/>
  <c r="P561" i="1" s="1"/>
  <c r="P563" i="1"/>
  <c r="K586" i="1"/>
  <c r="K503" i="1"/>
  <c r="M579" i="1"/>
  <c r="P579" i="1" s="1"/>
  <c r="M582" i="1"/>
  <c r="P582" i="1" s="1"/>
  <c r="L600" i="1"/>
  <c r="R600" i="1"/>
  <c r="L602" i="1"/>
  <c r="M617" i="1"/>
  <c r="T623" i="1"/>
  <c r="K631" i="1"/>
  <c r="L644" i="1"/>
  <c r="O644" i="1" s="1"/>
  <c r="T646" i="1"/>
  <c r="U647" i="1"/>
  <c r="J654" i="1"/>
  <c r="K587" i="1"/>
  <c r="M602" i="1"/>
  <c r="O604" i="1"/>
  <c r="N617" i="1"/>
  <c r="Q618" i="1"/>
  <c r="M619" i="1"/>
  <c r="P619" i="1" s="1"/>
  <c r="N622" i="1"/>
  <c r="Q643" i="1"/>
  <c r="M644" i="1"/>
  <c r="R645" i="1"/>
  <c r="R648" i="1"/>
  <c r="U648" i="1" s="1"/>
  <c r="J727" i="1"/>
  <c r="K727" i="1" s="1"/>
  <c r="K752" i="1"/>
  <c r="Q602" i="1"/>
  <c r="T602" i="1" s="1"/>
  <c r="P767" i="1"/>
  <c r="M766" i="1"/>
  <c r="P766" i="1" s="1"/>
  <c r="L605" i="1"/>
  <c r="O605" i="1" s="1"/>
  <c r="M645" i="1"/>
  <c r="P645" i="1" s="1"/>
  <c r="L648" i="1"/>
  <c r="O648" i="1" s="1"/>
  <c r="Q693" i="1"/>
  <c r="Q696" i="1"/>
  <c r="T696" i="1" s="1"/>
  <c r="Q731" i="1"/>
  <c r="J689" i="1"/>
  <c r="K689" i="1" s="1"/>
  <c r="K707" i="1"/>
  <c r="T694" i="1"/>
  <c r="T697" i="1"/>
  <c r="T718" i="1"/>
  <c r="T721" i="1"/>
  <c r="T729" i="1"/>
  <c r="T732" i="1"/>
  <c r="U96" i="1" l="1"/>
  <c r="R392" i="4"/>
  <c r="U392" i="4" s="1"/>
  <c r="T305" i="1"/>
  <c r="T123" i="1"/>
  <c r="U123" i="1"/>
  <c r="M139" i="14"/>
  <c r="P139" i="14" s="1"/>
  <c r="T377" i="2"/>
  <c r="K689" i="5"/>
  <c r="L303" i="11"/>
  <c r="O303" i="11" s="1"/>
  <c r="S59" i="1"/>
  <c r="U619" i="10"/>
  <c r="T96" i="1"/>
  <c r="P268" i="8"/>
  <c r="P268" i="13"/>
  <c r="O268" i="13"/>
  <c r="R139" i="1"/>
  <c r="U618" i="5"/>
  <c r="M117" i="9"/>
  <c r="P117" i="9" s="1"/>
  <c r="P74" i="14"/>
  <c r="U762" i="8"/>
  <c r="U493" i="13"/>
  <c r="N375" i="1"/>
  <c r="O189" i="7"/>
  <c r="O188" i="15"/>
  <c r="O203" i="1"/>
  <c r="U141" i="1"/>
  <c r="S186" i="1"/>
  <c r="M576" i="13"/>
  <c r="P576" i="13" s="1"/>
  <c r="T413" i="15"/>
  <c r="Q690" i="11"/>
  <c r="T690" i="11" s="1"/>
  <c r="O358" i="12"/>
  <c r="N616" i="1"/>
  <c r="P416" i="1"/>
  <c r="M59" i="1"/>
  <c r="P59" i="1" s="1"/>
  <c r="U377" i="13"/>
  <c r="U188" i="1"/>
  <c r="K374" i="8"/>
  <c r="K701" i="14"/>
  <c r="U306" i="14"/>
  <c r="O269" i="8"/>
  <c r="L555" i="12"/>
  <c r="O555" i="12" s="1"/>
  <c r="R728" i="8"/>
  <c r="U728" i="8" s="1"/>
  <c r="O335" i="9"/>
  <c r="L117" i="12"/>
  <c r="O117" i="12" s="1"/>
  <c r="P322" i="15"/>
  <c r="U141" i="15"/>
  <c r="O377" i="15"/>
  <c r="K701" i="11"/>
  <c r="T394" i="15"/>
  <c r="Q72" i="11"/>
  <c r="T72" i="11" s="1"/>
  <c r="O119" i="15"/>
  <c r="O578" i="15"/>
  <c r="O601" i="12"/>
  <c r="Q173" i="13"/>
  <c r="T173" i="13" s="1"/>
  <c r="M117" i="13"/>
  <c r="P117" i="13" s="1"/>
  <c r="P333" i="9"/>
  <c r="L266" i="13"/>
  <c r="O266" i="13" s="1"/>
  <c r="P305" i="15"/>
  <c r="P188" i="15"/>
  <c r="L282" i="2"/>
  <c r="O282" i="2" s="1"/>
  <c r="O268" i="2"/>
  <c r="P335" i="9"/>
  <c r="U378" i="12"/>
  <c r="T377" i="1"/>
  <c r="U145" i="1"/>
  <c r="P46" i="12"/>
  <c r="Q599" i="15"/>
  <c r="T599" i="15" s="1"/>
  <c r="T145" i="1"/>
  <c r="R157" i="9"/>
  <c r="U157" i="9" s="1"/>
  <c r="U377" i="3"/>
  <c r="Q392" i="6"/>
  <c r="T392" i="6" s="1"/>
  <c r="O356" i="14"/>
  <c r="U493" i="15"/>
  <c r="M320" i="6"/>
  <c r="P320" i="6" s="1"/>
  <c r="K374" i="10"/>
  <c r="P160" i="1"/>
  <c r="L72" i="11"/>
  <c r="O72" i="11" s="1"/>
  <c r="Q690" i="12"/>
  <c r="T690" i="12" s="1"/>
  <c r="T269" i="12"/>
  <c r="U619" i="14"/>
  <c r="O160" i="1"/>
  <c r="O268" i="10"/>
  <c r="O119" i="14"/>
  <c r="K701" i="2"/>
  <c r="O495" i="3"/>
  <c r="O175" i="4"/>
  <c r="R94" i="5"/>
  <c r="U94" i="5" s="1"/>
  <c r="K689" i="13"/>
  <c r="T762" i="7"/>
  <c r="U644" i="7"/>
  <c r="O188" i="8"/>
  <c r="O74" i="10"/>
  <c r="U692" i="14"/>
  <c r="L266" i="10"/>
  <c r="O266" i="10" s="1"/>
  <c r="U175" i="10"/>
  <c r="P47" i="14"/>
  <c r="R413" i="10"/>
  <c r="U413" i="10" s="1"/>
  <c r="T690" i="14"/>
  <c r="L303" i="14"/>
  <c r="O303" i="14" s="1"/>
  <c r="U413" i="15"/>
  <c r="U96" i="15"/>
  <c r="T493" i="15"/>
  <c r="O578" i="7"/>
  <c r="T119" i="15"/>
  <c r="Q413" i="1"/>
  <c r="T728" i="9"/>
  <c r="Q375" i="9"/>
  <c r="T375" i="9" s="1"/>
  <c r="K689" i="9"/>
  <c r="R375" i="11"/>
  <c r="U375" i="11" s="1"/>
  <c r="I231" i="14"/>
  <c r="I185" i="14" s="1"/>
  <c r="K185" i="14" s="1"/>
  <c r="T693" i="13"/>
  <c r="R94" i="10"/>
  <c r="U94" i="10" s="1"/>
  <c r="T413" i="13"/>
  <c r="Q303" i="13"/>
  <c r="T303" i="13" s="1"/>
  <c r="O96" i="13"/>
  <c r="T97" i="14"/>
  <c r="U175" i="14"/>
  <c r="U97" i="14"/>
  <c r="S555" i="1"/>
  <c r="T601" i="5"/>
  <c r="U415" i="12"/>
  <c r="L24" i="15"/>
  <c r="O24" i="15" s="1"/>
  <c r="Q173" i="1"/>
  <c r="T74" i="5"/>
  <c r="N20" i="10"/>
  <c r="N18" i="10" s="1"/>
  <c r="O268" i="6"/>
  <c r="Q599" i="8"/>
  <c r="T599" i="8" s="1"/>
  <c r="U415" i="13"/>
  <c r="R642" i="13"/>
  <c r="U642" i="13" s="1"/>
  <c r="O359" i="14"/>
  <c r="T306" i="14"/>
  <c r="U730" i="15"/>
  <c r="M599" i="4"/>
  <c r="P599" i="4" s="1"/>
  <c r="Q20" i="5"/>
  <c r="Q18" i="5" s="1"/>
  <c r="T378" i="12"/>
  <c r="Q20" i="15"/>
  <c r="Q18" i="15" s="1"/>
  <c r="R392" i="15"/>
  <c r="U392" i="15" s="1"/>
  <c r="M20" i="15"/>
  <c r="M18" i="15" s="1"/>
  <c r="U74" i="3"/>
  <c r="T619" i="10"/>
  <c r="P284" i="10"/>
  <c r="O175" i="10"/>
  <c r="P557" i="11"/>
  <c r="P358" i="12"/>
  <c r="P61" i="12"/>
  <c r="U616" i="12"/>
  <c r="O335" i="13"/>
  <c r="T693" i="15"/>
  <c r="P335" i="15"/>
  <c r="P46" i="15"/>
  <c r="U616" i="15"/>
  <c r="T731" i="14"/>
  <c r="J457" i="1"/>
  <c r="J456" i="1" s="1"/>
  <c r="K456" i="1" s="1"/>
  <c r="U306" i="1"/>
  <c r="O96" i="1"/>
  <c r="P123" i="1"/>
  <c r="U619" i="4"/>
  <c r="L94" i="4"/>
  <c r="O94" i="4" s="1"/>
  <c r="P186" i="6"/>
  <c r="U266" i="7"/>
  <c r="M493" i="8"/>
  <c r="P493" i="8" s="1"/>
  <c r="U693" i="12"/>
  <c r="K701" i="12"/>
  <c r="U186" i="12"/>
  <c r="T119" i="12"/>
  <c r="O601" i="13"/>
  <c r="K701" i="13"/>
  <c r="P47" i="13"/>
  <c r="M72" i="13"/>
  <c r="P72" i="13" s="1"/>
  <c r="O495" i="14"/>
  <c r="T616" i="15"/>
  <c r="O141" i="15"/>
  <c r="T618" i="15"/>
  <c r="O186" i="14"/>
  <c r="U415" i="11"/>
  <c r="S173" i="1"/>
  <c r="T188" i="1"/>
  <c r="M413" i="7"/>
  <c r="P413" i="7" s="1"/>
  <c r="Q94" i="7"/>
  <c r="T94" i="7" s="1"/>
  <c r="P336" i="9"/>
  <c r="T159" i="9"/>
  <c r="M493" i="10"/>
  <c r="P493" i="10" s="1"/>
  <c r="P46" i="11"/>
  <c r="L303" i="12"/>
  <c r="O303" i="12" s="1"/>
  <c r="R173" i="12"/>
  <c r="U173" i="12" s="1"/>
  <c r="U119" i="12"/>
  <c r="T601" i="14"/>
  <c r="U413" i="13"/>
  <c r="K689" i="14"/>
  <c r="T378" i="14"/>
  <c r="O415" i="15"/>
  <c r="O320" i="15"/>
  <c r="T305" i="15"/>
  <c r="U159" i="15"/>
  <c r="U175" i="15"/>
  <c r="U117" i="14"/>
  <c r="U619" i="12"/>
  <c r="T618" i="1"/>
  <c r="O416" i="1"/>
  <c r="S356" i="1"/>
  <c r="O123" i="1"/>
  <c r="S616" i="1"/>
  <c r="S534" i="1"/>
  <c r="R157" i="5"/>
  <c r="U157" i="5" s="1"/>
  <c r="M493" i="7"/>
  <c r="P493" i="7" s="1"/>
  <c r="L20" i="8"/>
  <c r="O23" i="8"/>
  <c r="T760" i="10"/>
  <c r="U413" i="11"/>
  <c r="T619" i="12"/>
  <c r="U117" i="12"/>
  <c r="L493" i="12"/>
  <c r="O493" i="12" s="1"/>
  <c r="L375" i="13"/>
  <c r="O375" i="13" s="1"/>
  <c r="Q157" i="13"/>
  <c r="T157" i="13" s="1"/>
  <c r="I71" i="13"/>
  <c r="K71" i="13" s="1"/>
  <c r="K701" i="15"/>
  <c r="U75" i="1"/>
  <c r="P578" i="9"/>
  <c r="L413" i="10"/>
  <c r="O413" i="10" s="1"/>
  <c r="R375" i="12"/>
  <c r="U375" i="12" s="1"/>
  <c r="T266" i="14"/>
  <c r="O188" i="14"/>
  <c r="T692" i="14"/>
  <c r="P358" i="15"/>
  <c r="O74" i="15"/>
  <c r="O322" i="15"/>
  <c r="O413" i="15"/>
  <c r="P495" i="15"/>
  <c r="S690" i="1"/>
  <c r="U690" i="1" s="1"/>
  <c r="L117" i="4"/>
  <c r="O117" i="4" s="1"/>
  <c r="R413" i="9"/>
  <c r="U413" i="9" s="1"/>
  <c r="L94" i="10"/>
  <c r="O94" i="10" s="1"/>
  <c r="P356" i="10"/>
  <c r="Q493" i="14"/>
  <c r="T493" i="14" s="1"/>
  <c r="P284" i="15"/>
  <c r="P266" i="15"/>
  <c r="T760" i="2"/>
  <c r="L599" i="3"/>
  <c r="O599" i="3" s="1"/>
  <c r="N599" i="13"/>
  <c r="O599" i="13" s="1"/>
  <c r="R24" i="14"/>
  <c r="U24" i="14" s="1"/>
  <c r="I70" i="14"/>
  <c r="K70" i="14" s="1"/>
  <c r="U306" i="13"/>
  <c r="O495" i="15"/>
  <c r="O493" i="15"/>
  <c r="U74" i="15"/>
  <c r="R642" i="5"/>
  <c r="U642" i="5" s="1"/>
  <c r="P96" i="6"/>
  <c r="U377" i="8"/>
  <c r="U730" i="9"/>
  <c r="P358" i="9"/>
  <c r="Q375" i="11"/>
  <c r="T375" i="11" s="1"/>
  <c r="T413" i="14"/>
  <c r="L555" i="14"/>
  <c r="O555" i="14" s="1"/>
  <c r="L186" i="15"/>
  <c r="O186" i="15" s="1"/>
  <c r="P282" i="15"/>
  <c r="T730" i="9"/>
  <c r="U186" i="9"/>
  <c r="P141" i="10"/>
  <c r="Q642" i="13"/>
  <c r="T642" i="13" s="1"/>
  <c r="U413" i="14"/>
  <c r="P266" i="14"/>
  <c r="L139" i="14"/>
  <c r="O139" i="14" s="1"/>
  <c r="K83" i="14"/>
  <c r="M555" i="15"/>
  <c r="P555" i="15" s="1"/>
  <c r="T415" i="15"/>
  <c r="T74" i="15"/>
  <c r="K374" i="15"/>
  <c r="O358" i="15"/>
  <c r="O157" i="15"/>
  <c r="T731" i="10"/>
  <c r="T730" i="12"/>
  <c r="Q20" i="13"/>
  <c r="Q18" i="13" s="1"/>
  <c r="K374" i="13"/>
  <c r="T619" i="14"/>
  <c r="U495" i="13"/>
  <c r="U495" i="15"/>
  <c r="M493" i="15"/>
  <c r="P493" i="15" s="1"/>
  <c r="M24" i="15"/>
  <c r="P24" i="15" s="1"/>
  <c r="T303" i="15"/>
  <c r="T23" i="15"/>
  <c r="P557" i="14"/>
  <c r="T268" i="1"/>
  <c r="S266" i="1"/>
  <c r="T175" i="9"/>
  <c r="O139" i="9"/>
  <c r="R642" i="10"/>
  <c r="U642" i="10" s="1"/>
  <c r="O159" i="15"/>
  <c r="P268" i="10"/>
  <c r="L356" i="15"/>
  <c r="O356" i="15" s="1"/>
  <c r="U692" i="10"/>
  <c r="R392" i="10"/>
  <c r="U392" i="10" s="1"/>
  <c r="L375" i="11"/>
  <c r="O375" i="11" s="1"/>
  <c r="T731" i="13"/>
  <c r="L282" i="14"/>
  <c r="O282" i="14" s="1"/>
  <c r="M157" i="14"/>
  <c r="P157" i="14" s="1"/>
  <c r="U96" i="14"/>
  <c r="U305" i="15"/>
  <c r="U268" i="1"/>
  <c r="Q642" i="10"/>
  <c r="T642" i="10" s="1"/>
  <c r="P358" i="14"/>
  <c r="P46" i="14"/>
  <c r="O358" i="14"/>
  <c r="P322" i="13"/>
  <c r="T188" i="15"/>
  <c r="O96" i="15"/>
  <c r="R20" i="15"/>
  <c r="R18" i="15" s="1"/>
  <c r="L493" i="7"/>
  <c r="O493" i="7" s="1"/>
  <c r="P94" i="9"/>
  <c r="L555" i="10"/>
  <c r="O555" i="10" s="1"/>
  <c r="U303" i="15"/>
  <c r="U176" i="15"/>
  <c r="S20" i="15"/>
  <c r="P173" i="15"/>
  <c r="P339" i="1"/>
  <c r="O188" i="5"/>
  <c r="T377" i="6"/>
  <c r="O96" i="6"/>
  <c r="M493" i="9"/>
  <c r="P493" i="9" s="1"/>
  <c r="Q616" i="11"/>
  <c r="T616" i="11" s="1"/>
  <c r="T188" i="12"/>
  <c r="P495" i="14"/>
  <c r="P333" i="14"/>
  <c r="N21" i="14"/>
  <c r="P21" i="14" s="1"/>
  <c r="M513" i="15"/>
  <c r="P513" i="15" s="1"/>
  <c r="U618" i="15"/>
  <c r="T495" i="15"/>
  <c r="T375" i="14"/>
  <c r="O142" i="15"/>
  <c r="M266" i="10"/>
  <c r="P266" i="10" s="1"/>
  <c r="T730" i="13"/>
  <c r="O46" i="13"/>
  <c r="O189" i="13"/>
  <c r="Q760" i="13"/>
  <c r="T760" i="13" s="1"/>
  <c r="T269" i="13"/>
  <c r="T416" i="14"/>
  <c r="T188" i="14"/>
  <c r="O266" i="15"/>
  <c r="U23" i="15"/>
  <c r="O536" i="14"/>
  <c r="L534" i="14"/>
  <c r="O534" i="14" s="1"/>
  <c r="L59" i="1"/>
  <c r="O59" i="1" s="1"/>
  <c r="P326" i="1"/>
  <c r="T619" i="9"/>
  <c r="T188" i="9"/>
  <c r="P358" i="10"/>
  <c r="P175" i="12"/>
  <c r="T186" i="14"/>
  <c r="U21" i="15"/>
  <c r="O326" i="1"/>
  <c r="P359" i="1"/>
  <c r="Q139" i="6"/>
  <c r="T139" i="6" s="1"/>
  <c r="O322" i="11"/>
  <c r="T189" i="11"/>
  <c r="P141" i="12"/>
  <c r="M320" i="13"/>
  <c r="P320" i="13" s="1"/>
  <c r="P269" i="13"/>
  <c r="T188" i="13"/>
  <c r="Q728" i="14"/>
  <c r="T728" i="14" s="1"/>
  <c r="O377" i="14"/>
  <c r="P23" i="14"/>
  <c r="P175" i="14"/>
  <c r="T23" i="14"/>
  <c r="T415" i="14"/>
  <c r="R599" i="15"/>
  <c r="U599" i="15" s="1"/>
  <c r="U415" i="15"/>
  <c r="O268" i="15"/>
  <c r="P96" i="15"/>
  <c r="T176" i="15"/>
  <c r="O189" i="15"/>
  <c r="I71" i="15"/>
  <c r="K71" i="15" s="1"/>
  <c r="U619" i="15"/>
  <c r="P175" i="15"/>
  <c r="U97" i="15"/>
  <c r="O359" i="1"/>
  <c r="O97" i="1"/>
  <c r="T416" i="6"/>
  <c r="I70" i="8"/>
  <c r="K70" i="8" s="1"/>
  <c r="K701" i="9"/>
  <c r="T619" i="11"/>
  <c r="R760" i="13"/>
  <c r="U760" i="13" s="1"/>
  <c r="P186" i="13"/>
  <c r="T141" i="13"/>
  <c r="U303" i="14"/>
  <c r="U119" i="14"/>
  <c r="U120" i="15"/>
  <c r="Q21" i="15"/>
  <c r="T21" i="15" s="1"/>
  <c r="M157" i="7"/>
  <c r="P157" i="7" s="1"/>
  <c r="Q690" i="10"/>
  <c r="T690" i="10" s="1"/>
  <c r="T119" i="11"/>
  <c r="K374" i="12"/>
  <c r="T616" i="13"/>
  <c r="Q392" i="13"/>
  <c r="T392" i="13" s="1"/>
  <c r="M266" i="13"/>
  <c r="P266" i="13" s="1"/>
  <c r="U601" i="13"/>
  <c r="M117" i="14"/>
  <c r="P117" i="14" s="1"/>
  <c r="U762" i="14"/>
  <c r="M303" i="14"/>
  <c r="P303" i="14" s="1"/>
  <c r="P269" i="15"/>
  <c r="M44" i="15"/>
  <c r="P44" i="15" s="1"/>
  <c r="Q157" i="15"/>
  <c r="T157" i="15" s="1"/>
  <c r="O305" i="15"/>
  <c r="T415" i="13"/>
  <c r="R72" i="15"/>
  <c r="U72" i="15" s="1"/>
  <c r="M413" i="15"/>
  <c r="P413" i="15" s="1"/>
  <c r="P415" i="15"/>
  <c r="O94" i="15"/>
  <c r="K423" i="6"/>
  <c r="L555" i="11"/>
  <c r="O555" i="11" s="1"/>
  <c r="T305" i="11"/>
  <c r="M72" i="12"/>
  <c r="P72" i="12" s="1"/>
  <c r="P23" i="12"/>
  <c r="M493" i="12"/>
  <c r="P493" i="12" s="1"/>
  <c r="L232" i="15"/>
  <c r="O243" i="15"/>
  <c r="U26" i="15"/>
  <c r="R24" i="15"/>
  <c r="U24" i="15" s="1"/>
  <c r="M534" i="15"/>
  <c r="P534" i="15" s="1"/>
  <c r="U173" i="15"/>
  <c r="S94" i="15"/>
  <c r="U94" i="15" s="1"/>
  <c r="T305" i="9"/>
  <c r="K689" i="11"/>
  <c r="L173" i="15"/>
  <c r="O173" i="15" s="1"/>
  <c r="O175" i="15"/>
  <c r="T618" i="6"/>
  <c r="R599" i="8"/>
  <c r="U599" i="8" s="1"/>
  <c r="Q24" i="11"/>
  <c r="T24" i="11" s="1"/>
  <c r="Q72" i="14"/>
  <c r="T72" i="14" s="1"/>
  <c r="Q20" i="14"/>
  <c r="Q18" i="14" s="1"/>
  <c r="R642" i="14"/>
  <c r="U642" i="14" s="1"/>
  <c r="T377" i="14"/>
  <c r="P94" i="14"/>
  <c r="L599" i="15"/>
  <c r="O599" i="15" s="1"/>
  <c r="P356" i="15"/>
  <c r="Q24" i="15"/>
  <c r="T24" i="15" s="1"/>
  <c r="T26" i="15"/>
  <c r="L21" i="15"/>
  <c r="L20" i="15"/>
  <c r="L18" i="15" s="1"/>
  <c r="K423" i="8"/>
  <c r="O186" i="11"/>
  <c r="P413" i="14"/>
  <c r="U266" i="14"/>
  <c r="L555" i="15"/>
  <c r="O555" i="15" s="1"/>
  <c r="O306" i="15"/>
  <c r="P268" i="15"/>
  <c r="M375" i="15"/>
  <c r="P375" i="15" s="1"/>
  <c r="M320" i="15"/>
  <c r="P320" i="15" s="1"/>
  <c r="M186" i="15"/>
  <c r="P186" i="15" s="1"/>
  <c r="N72" i="15"/>
  <c r="O72" i="15" s="1"/>
  <c r="M94" i="15"/>
  <c r="P94" i="15" s="1"/>
  <c r="P23" i="15"/>
  <c r="T96" i="15"/>
  <c r="L576" i="15"/>
  <c r="O576" i="15" s="1"/>
  <c r="M21" i="15"/>
  <c r="O320" i="13"/>
  <c r="L157" i="13"/>
  <c r="O157" i="13" s="1"/>
  <c r="M303" i="13"/>
  <c r="P303" i="13" s="1"/>
  <c r="T74" i="13"/>
  <c r="S20" i="14"/>
  <c r="S18" i="14" s="1"/>
  <c r="T306" i="13"/>
  <c r="Q728" i="15"/>
  <c r="T728" i="15" s="1"/>
  <c r="T730" i="15"/>
  <c r="R642" i="15"/>
  <c r="U642" i="15" s="1"/>
  <c r="M599" i="15"/>
  <c r="P599" i="15" s="1"/>
  <c r="U266" i="15"/>
  <c r="K242" i="15"/>
  <c r="I231" i="15"/>
  <c r="M333" i="15"/>
  <c r="P333" i="15" s="1"/>
  <c r="O19" i="15"/>
  <c r="U268" i="15"/>
  <c r="P119" i="15"/>
  <c r="M117" i="15"/>
  <c r="P117" i="15" s="1"/>
  <c r="M139" i="15"/>
  <c r="P139" i="15" s="1"/>
  <c r="P141" i="15"/>
  <c r="Q117" i="15"/>
  <c r="T117" i="15" s="1"/>
  <c r="P19" i="15"/>
  <c r="Q72" i="15"/>
  <c r="T72" i="15" s="1"/>
  <c r="U377" i="15"/>
  <c r="T377" i="15"/>
  <c r="O284" i="15"/>
  <c r="L282" i="15"/>
  <c r="O282" i="15" s="1"/>
  <c r="P61" i="15"/>
  <c r="M59" i="15"/>
  <c r="P59" i="15" s="1"/>
  <c r="S21" i="14"/>
  <c r="T21" i="14" s="1"/>
  <c r="S375" i="15"/>
  <c r="T175" i="15"/>
  <c r="Q173" i="15"/>
  <c r="T173" i="15" s="1"/>
  <c r="R760" i="15"/>
  <c r="U760" i="15" s="1"/>
  <c r="U762" i="15"/>
  <c r="T692" i="15"/>
  <c r="Q690" i="15"/>
  <c r="T690" i="15" s="1"/>
  <c r="L534" i="15"/>
  <c r="O534" i="15" s="1"/>
  <c r="T268" i="15"/>
  <c r="Q266" i="15"/>
  <c r="T266" i="15" s="1"/>
  <c r="O175" i="11"/>
  <c r="Q760" i="15"/>
  <c r="T760" i="15" s="1"/>
  <c r="T762" i="15"/>
  <c r="R690" i="15"/>
  <c r="U690" i="15" s="1"/>
  <c r="L513" i="15"/>
  <c r="O513" i="15" s="1"/>
  <c r="S139" i="15"/>
  <c r="T139" i="15" s="1"/>
  <c r="T141" i="15"/>
  <c r="O23" i="15"/>
  <c r="N21" i="15"/>
  <c r="N20" i="15"/>
  <c r="O46" i="15"/>
  <c r="L44" i="15"/>
  <c r="O61" i="15"/>
  <c r="L59" i="15"/>
  <c r="O59" i="15" s="1"/>
  <c r="S186" i="15"/>
  <c r="T186" i="15" s="1"/>
  <c r="P159" i="15"/>
  <c r="M157" i="15"/>
  <c r="P157" i="15" s="1"/>
  <c r="P74" i="15"/>
  <c r="O139" i="12"/>
  <c r="O142" i="13"/>
  <c r="P59" i="13"/>
  <c r="O47" i="13"/>
  <c r="U415" i="14"/>
  <c r="R728" i="15"/>
  <c r="U728" i="15" s="1"/>
  <c r="P578" i="15"/>
  <c r="M576" i="15"/>
  <c r="P576" i="15" s="1"/>
  <c r="L333" i="15"/>
  <c r="O333" i="15" s="1"/>
  <c r="O335" i="15"/>
  <c r="N303" i="15"/>
  <c r="L139" i="15"/>
  <c r="O139" i="15" s="1"/>
  <c r="R117" i="15"/>
  <c r="U117" i="15" s="1"/>
  <c r="U119" i="15"/>
  <c r="K82" i="15"/>
  <c r="I70" i="15"/>
  <c r="K70" i="15" s="1"/>
  <c r="U188" i="15"/>
  <c r="T141" i="14"/>
  <c r="Q139" i="14"/>
  <c r="T139" i="14" s="1"/>
  <c r="P268" i="14"/>
  <c r="T175" i="14"/>
  <c r="Q173" i="14"/>
  <c r="T173" i="14" s="1"/>
  <c r="P96" i="14"/>
  <c r="T305" i="14"/>
  <c r="Q303" i="14"/>
  <c r="T303" i="14" s="1"/>
  <c r="L157" i="14"/>
  <c r="O157" i="14" s="1"/>
  <c r="O159" i="14"/>
  <c r="U119" i="9"/>
  <c r="L303" i="10"/>
  <c r="O303" i="10" s="1"/>
  <c r="M303" i="11"/>
  <c r="P303" i="11" s="1"/>
  <c r="I71" i="11"/>
  <c r="K71" i="11" s="1"/>
  <c r="U305" i="11"/>
  <c r="U693" i="11"/>
  <c r="M375" i="12"/>
  <c r="P375" i="12" s="1"/>
  <c r="O188" i="12"/>
  <c r="P119" i="12"/>
  <c r="T74" i="12"/>
  <c r="U96" i="13"/>
  <c r="L333" i="13"/>
  <c r="O333" i="13" s="1"/>
  <c r="M44" i="14"/>
  <c r="P44" i="14" s="1"/>
  <c r="S24" i="14"/>
  <c r="O74" i="14"/>
  <c r="L72" i="14"/>
  <c r="O72" i="14" s="1"/>
  <c r="U159" i="14"/>
  <c r="R157" i="14"/>
  <c r="U157" i="14" s="1"/>
  <c r="U618" i="14"/>
  <c r="S616" i="14"/>
  <c r="U616" i="14" s="1"/>
  <c r="U141" i="14"/>
  <c r="R139" i="14"/>
  <c r="U139" i="14" s="1"/>
  <c r="O322" i="14"/>
  <c r="L320" i="14"/>
  <c r="O320" i="14" s="1"/>
  <c r="Q24" i="14"/>
  <c r="T24" i="14" s="1"/>
  <c r="T26" i="14"/>
  <c r="U268" i="14"/>
  <c r="O175" i="14"/>
  <c r="L173" i="14"/>
  <c r="O173" i="14" s="1"/>
  <c r="T119" i="14"/>
  <c r="Q117" i="14"/>
  <c r="T117" i="14" s="1"/>
  <c r="O61" i="14"/>
  <c r="L59" i="14"/>
  <c r="O59" i="14" s="1"/>
  <c r="T303" i="9"/>
  <c r="M282" i="11"/>
  <c r="P282" i="11" s="1"/>
  <c r="U378" i="11"/>
  <c r="M320" i="12"/>
  <c r="P320" i="12" s="1"/>
  <c r="U23" i="12"/>
  <c r="M513" i="13"/>
  <c r="P513" i="13" s="1"/>
  <c r="U119" i="13"/>
  <c r="I70" i="13"/>
  <c r="K70" i="13" s="1"/>
  <c r="P336" i="14"/>
  <c r="M173" i="14"/>
  <c r="P173" i="14" s="1"/>
  <c r="P188" i="14"/>
  <c r="M186" i="14"/>
  <c r="P186" i="14" s="1"/>
  <c r="R94" i="14"/>
  <c r="U94" i="14" s="1"/>
  <c r="U601" i="14"/>
  <c r="R599" i="14"/>
  <c r="U599" i="14" s="1"/>
  <c r="O536" i="10"/>
  <c r="L320" i="12"/>
  <c r="O320" i="12" s="1"/>
  <c r="P188" i="12"/>
  <c r="L157" i="12"/>
  <c r="O157" i="12" s="1"/>
  <c r="M534" i="13"/>
  <c r="P534" i="13" s="1"/>
  <c r="R375" i="13"/>
  <c r="U375" i="13" s="1"/>
  <c r="U117" i="13"/>
  <c r="O26" i="13"/>
  <c r="U188" i="13"/>
  <c r="U74" i="14"/>
  <c r="R72" i="14"/>
  <c r="U72" i="14" s="1"/>
  <c r="T159" i="14"/>
  <c r="Q157" i="14"/>
  <c r="T157" i="14" s="1"/>
  <c r="I231" i="13"/>
  <c r="I185" i="13" s="1"/>
  <c r="K185" i="13" s="1"/>
  <c r="O515" i="14"/>
  <c r="L513" i="14"/>
  <c r="O513" i="14" s="1"/>
  <c r="P601" i="14"/>
  <c r="M599" i="14"/>
  <c r="P599" i="14" s="1"/>
  <c r="K423" i="14"/>
  <c r="I412" i="14"/>
  <c r="K412" i="14" s="1"/>
  <c r="P536" i="14"/>
  <c r="M534" i="14"/>
  <c r="P534" i="14" s="1"/>
  <c r="O601" i="14"/>
  <c r="L599" i="14"/>
  <c r="O599" i="14" s="1"/>
  <c r="P61" i="14"/>
  <c r="P377" i="14"/>
  <c r="M375" i="14"/>
  <c r="P375" i="14" s="1"/>
  <c r="M534" i="12"/>
  <c r="P534" i="12" s="1"/>
  <c r="P59" i="14"/>
  <c r="O268" i="14"/>
  <c r="L266" i="14"/>
  <c r="O266" i="14" s="1"/>
  <c r="O96" i="14"/>
  <c r="L94" i="14"/>
  <c r="O94" i="14" s="1"/>
  <c r="P284" i="14"/>
  <c r="M282" i="14"/>
  <c r="P282" i="14" s="1"/>
  <c r="O578" i="14"/>
  <c r="L576" i="14"/>
  <c r="O576" i="14" s="1"/>
  <c r="T268" i="14"/>
  <c r="T306" i="1"/>
  <c r="T728" i="10"/>
  <c r="P413" i="10"/>
  <c r="M303" i="10"/>
  <c r="P303" i="10" s="1"/>
  <c r="P415" i="11"/>
  <c r="U618" i="12"/>
  <c r="O24" i="12"/>
  <c r="P159" i="12"/>
  <c r="R94" i="12"/>
  <c r="U94" i="12" s="1"/>
  <c r="O415" i="13"/>
  <c r="L576" i="13"/>
  <c r="O576" i="13" s="1"/>
  <c r="P415" i="14"/>
  <c r="O415" i="14"/>
  <c r="Q94" i="14"/>
  <c r="T94" i="14" s="1"/>
  <c r="T96" i="14"/>
  <c r="L20" i="14"/>
  <c r="O23" i="14"/>
  <c r="L44" i="14"/>
  <c r="O46" i="14"/>
  <c r="L21" i="14"/>
  <c r="T731" i="12"/>
  <c r="P335" i="12"/>
  <c r="Q117" i="12"/>
  <c r="T117" i="12" s="1"/>
  <c r="I231" i="12"/>
  <c r="K231" i="12" s="1"/>
  <c r="T96" i="13"/>
  <c r="Q760" i="14"/>
  <c r="T760" i="14" s="1"/>
  <c r="T762" i="14"/>
  <c r="O413" i="14"/>
  <c r="P356" i="13"/>
  <c r="Q392" i="14"/>
  <c r="T392" i="14" s="1"/>
  <c r="T394" i="14"/>
  <c r="M513" i="14"/>
  <c r="P513" i="14" s="1"/>
  <c r="P515" i="14"/>
  <c r="M20" i="14"/>
  <c r="P26" i="14"/>
  <c r="R186" i="14"/>
  <c r="U186" i="14" s="1"/>
  <c r="U188" i="14"/>
  <c r="R493" i="14"/>
  <c r="U493" i="14" s="1"/>
  <c r="U495" i="14"/>
  <c r="U378" i="8"/>
  <c r="T117" i="11"/>
  <c r="P96" i="11"/>
  <c r="K689" i="12"/>
  <c r="T97" i="13"/>
  <c r="R375" i="14"/>
  <c r="U375" i="14" s="1"/>
  <c r="U377" i="14"/>
  <c r="Q616" i="14"/>
  <c r="T618" i="14"/>
  <c r="O243" i="14"/>
  <c r="L232" i="14"/>
  <c r="N40" i="14"/>
  <c r="K615" i="8"/>
  <c r="T188" i="8"/>
  <c r="I412" i="10"/>
  <c r="K412" i="10" s="1"/>
  <c r="T762" i="11"/>
  <c r="R303" i="11"/>
  <c r="U303" i="11" s="1"/>
  <c r="O415" i="12"/>
  <c r="S94" i="13"/>
  <c r="T94" i="13" s="1"/>
  <c r="K253" i="13"/>
  <c r="R728" i="14"/>
  <c r="U728" i="14" s="1"/>
  <c r="O335" i="14"/>
  <c r="L333" i="14"/>
  <c r="O333" i="14" s="1"/>
  <c r="L24" i="14"/>
  <c r="O24" i="14" s="1"/>
  <c r="M320" i="14"/>
  <c r="P320" i="14" s="1"/>
  <c r="P322" i="14"/>
  <c r="U618" i="6"/>
  <c r="P378" i="7"/>
  <c r="T730" i="10"/>
  <c r="T618" i="12"/>
  <c r="Q94" i="12"/>
  <c r="T94" i="12" s="1"/>
  <c r="R20" i="14"/>
  <c r="U23" i="14"/>
  <c r="M356" i="14"/>
  <c r="P356" i="14" s="1"/>
  <c r="R21" i="14"/>
  <c r="P335" i="14"/>
  <c r="O358" i="11"/>
  <c r="P269" i="12"/>
  <c r="O413" i="13"/>
  <c r="L513" i="13"/>
  <c r="O513" i="13" s="1"/>
  <c r="Q186" i="12"/>
  <c r="T186" i="12" s="1"/>
  <c r="P601" i="13"/>
  <c r="N94" i="13"/>
  <c r="O94" i="13" s="1"/>
  <c r="T23" i="12"/>
  <c r="U692" i="13"/>
  <c r="T692" i="13"/>
  <c r="P23" i="10"/>
  <c r="O335" i="12"/>
  <c r="R157" i="12"/>
  <c r="U157" i="12" s="1"/>
  <c r="P186" i="12"/>
  <c r="P323" i="13"/>
  <c r="O269" i="13"/>
  <c r="O61" i="13"/>
  <c r="U693" i="13"/>
  <c r="P61" i="13"/>
  <c r="P333" i="13"/>
  <c r="U141" i="11"/>
  <c r="O141" i="12"/>
  <c r="L555" i="13"/>
  <c r="O555" i="13" s="1"/>
  <c r="O175" i="13"/>
  <c r="R20" i="13"/>
  <c r="L24" i="13"/>
  <c r="O24" i="13" s="1"/>
  <c r="P173" i="13"/>
  <c r="P335" i="13"/>
  <c r="P358" i="13"/>
  <c r="U618" i="13"/>
  <c r="O266" i="12"/>
  <c r="Q157" i="12"/>
  <c r="T157" i="12" s="1"/>
  <c r="I70" i="12"/>
  <c r="K70" i="12" s="1"/>
  <c r="U269" i="12"/>
  <c r="T690" i="13"/>
  <c r="O496" i="13"/>
  <c r="S139" i="13"/>
  <c r="T139" i="13" s="1"/>
  <c r="R24" i="13"/>
  <c r="U24" i="13" s="1"/>
  <c r="S186" i="13"/>
  <c r="T186" i="13" s="1"/>
  <c r="M375" i="13"/>
  <c r="P375" i="13" s="1"/>
  <c r="P377" i="13"/>
  <c r="T377" i="13"/>
  <c r="Q375" i="13"/>
  <c r="T375" i="13" s="1"/>
  <c r="M555" i="13"/>
  <c r="P555" i="13" s="1"/>
  <c r="P557" i="13"/>
  <c r="U616" i="13"/>
  <c r="L356" i="11"/>
  <c r="O356" i="11" s="1"/>
  <c r="Q599" i="13"/>
  <c r="T599" i="13" s="1"/>
  <c r="L117" i="13"/>
  <c r="O117" i="13" s="1"/>
  <c r="O322" i="13"/>
  <c r="N20" i="13"/>
  <c r="N18" i="13" s="1"/>
  <c r="T618" i="13"/>
  <c r="S266" i="13"/>
  <c r="T266" i="13" s="1"/>
  <c r="U268" i="13"/>
  <c r="O358" i="13"/>
  <c r="L356" i="13"/>
  <c r="O356" i="13" s="1"/>
  <c r="N493" i="13"/>
  <c r="P495" i="13"/>
  <c r="O495" i="13"/>
  <c r="L282" i="13"/>
  <c r="O282" i="13" s="1"/>
  <c r="O284" i="13"/>
  <c r="M24" i="13"/>
  <c r="P24" i="13" s="1"/>
  <c r="P26" i="13"/>
  <c r="U74" i="13"/>
  <c r="R72" i="13"/>
  <c r="U72" i="13" s="1"/>
  <c r="U141" i="13"/>
  <c r="O536" i="7"/>
  <c r="P336" i="7"/>
  <c r="O188" i="11"/>
  <c r="L356" i="12"/>
  <c r="O356" i="12" s="1"/>
  <c r="R728" i="13"/>
  <c r="U728" i="13" s="1"/>
  <c r="K423" i="13"/>
  <c r="I412" i="13"/>
  <c r="K412" i="13" s="1"/>
  <c r="O323" i="13"/>
  <c r="T119" i="13"/>
  <c r="Q117" i="13"/>
  <c r="T117" i="13" s="1"/>
  <c r="P142" i="13"/>
  <c r="P189" i="13"/>
  <c r="P97" i="13"/>
  <c r="U142" i="13"/>
  <c r="U119" i="7"/>
  <c r="O536" i="13"/>
  <c r="L534" i="13"/>
  <c r="O534" i="13" s="1"/>
  <c r="P415" i="13"/>
  <c r="M413" i="13"/>
  <c r="P413" i="13" s="1"/>
  <c r="L303" i="13"/>
  <c r="O303" i="13" s="1"/>
  <c r="O305" i="13"/>
  <c r="O59" i="13"/>
  <c r="P358" i="6"/>
  <c r="U618" i="7"/>
  <c r="P46" i="13"/>
  <c r="M44" i="13"/>
  <c r="P159" i="13"/>
  <c r="M157" i="13"/>
  <c r="P157" i="13" s="1"/>
  <c r="O141" i="13"/>
  <c r="N139" i="13"/>
  <c r="P139" i="13" s="1"/>
  <c r="M20" i="13"/>
  <c r="P23" i="13"/>
  <c r="S20" i="13"/>
  <c r="S18" i="13" s="1"/>
  <c r="U23" i="13"/>
  <c r="S21" i="13"/>
  <c r="M59" i="12"/>
  <c r="P59" i="12" s="1"/>
  <c r="L173" i="13"/>
  <c r="O173" i="13" s="1"/>
  <c r="O74" i="13"/>
  <c r="L72" i="13"/>
  <c r="O72" i="13" s="1"/>
  <c r="O243" i="13"/>
  <c r="L232" i="13"/>
  <c r="P19" i="13"/>
  <c r="P96" i="13"/>
  <c r="U19" i="13"/>
  <c r="O23" i="13"/>
  <c r="L20" i="13"/>
  <c r="L21" i="13"/>
  <c r="O21" i="13" s="1"/>
  <c r="M21" i="13"/>
  <c r="P21" i="13" s="1"/>
  <c r="P175" i="13"/>
  <c r="N44" i="13"/>
  <c r="R173" i="6"/>
  <c r="U173" i="6" s="1"/>
  <c r="O186" i="12"/>
  <c r="Q24" i="13"/>
  <c r="T24" i="13" s="1"/>
  <c r="T26" i="13"/>
  <c r="T495" i="13"/>
  <c r="Q493" i="13"/>
  <c r="T493" i="13" s="1"/>
  <c r="M282" i="13"/>
  <c r="P282" i="13" s="1"/>
  <c r="O186" i="13"/>
  <c r="T23" i="13"/>
  <c r="P188" i="13"/>
  <c r="O188" i="13"/>
  <c r="P141" i="13"/>
  <c r="P189" i="12"/>
  <c r="U26" i="12"/>
  <c r="P333" i="12"/>
  <c r="M117" i="11"/>
  <c r="P117" i="11" s="1"/>
  <c r="R599" i="12"/>
  <c r="U599" i="12" s="1"/>
  <c r="Q20" i="12"/>
  <c r="Q18" i="12" s="1"/>
  <c r="U269" i="11"/>
  <c r="T141" i="12"/>
  <c r="R392" i="12"/>
  <c r="U392" i="12" s="1"/>
  <c r="U394" i="12"/>
  <c r="O188" i="9"/>
  <c r="K701" i="10"/>
  <c r="P333" i="10"/>
  <c r="L232" i="11"/>
  <c r="M24" i="11"/>
  <c r="P24" i="11" s="1"/>
  <c r="U23" i="11"/>
  <c r="Q139" i="11"/>
  <c r="T139" i="11" s="1"/>
  <c r="T693" i="12"/>
  <c r="R24" i="12"/>
  <c r="U24" i="12" s="1"/>
  <c r="L282" i="12"/>
  <c r="O282" i="12" s="1"/>
  <c r="O515" i="12"/>
  <c r="L513" i="12"/>
  <c r="O513" i="12" s="1"/>
  <c r="U141" i="12"/>
  <c r="R72" i="12"/>
  <c r="U72" i="12" s="1"/>
  <c r="U74" i="12"/>
  <c r="P268" i="9"/>
  <c r="O61" i="11"/>
  <c r="K374" i="11"/>
  <c r="L44" i="11"/>
  <c r="O44" i="11" s="1"/>
  <c r="U762" i="12"/>
  <c r="M513" i="12"/>
  <c r="P513" i="12" s="1"/>
  <c r="L232" i="12"/>
  <c r="U188" i="12"/>
  <c r="M139" i="12"/>
  <c r="P139" i="12" s="1"/>
  <c r="P96" i="12"/>
  <c r="S20" i="12"/>
  <c r="S18" i="12" s="1"/>
  <c r="P578" i="12"/>
  <c r="M576" i="12"/>
  <c r="P576" i="12" s="1"/>
  <c r="O74" i="12"/>
  <c r="L72" i="12"/>
  <c r="O72" i="12" s="1"/>
  <c r="P186" i="11"/>
  <c r="T139" i="12"/>
  <c r="O377" i="12"/>
  <c r="L375" i="12"/>
  <c r="O375" i="12" s="1"/>
  <c r="Q616" i="12"/>
  <c r="T616" i="12" s="1"/>
  <c r="Q375" i="12"/>
  <c r="T375" i="12" s="1"/>
  <c r="P601" i="12"/>
  <c r="P305" i="12"/>
  <c r="M303" i="12"/>
  <c r="P303" i="12" s="1"/>
  <c r="T26" i="12"/>
  <c r="Q24" i="12"/>
  <c r="T24" i="12" s="1"/>
  <c r="M266" i="12"/>
  <c r="P266" i="12" s="1"/>
  <c r="P268" i="12"/>
  <c r="T305" i="12"/>
  <c r="Q303" i="12"/>
  <c r="T303" i="12" s="1"/>
  <c r="U266" i="9"/>
  <c r="M117" i="10"/>
  <c r="P117" i="10" s="1"/>
  <c r="P358" i="11"/>
  <c r="R20" i="11"/>
  <c r="R18" i="11" s="1"/>
  <c r="S266" i="11"/>
  <c r="T266" i="11" s="1"/>
  <c r="U730" i="12"/>
  <c r="T728" i="12"/>
  <c r="U139" i="12"/>
  <c r="L94" i="12"/>
  <c r="O94" i="12" s="1"/>
  <c r="N599" i="12"/>
  <c r="O599" i="12" s="1"/>
  <c r="O268" i="12"/>
  <c r="S21" i="12"/>
  <c r="T21" i="12" s="1"/>
  <c r="R20" i="12"/>
  <c r="P141" i="1"/>
  <c r="O175" i="6"/>
  <c r="R186" i="7"/>
  <c r="U186" i="7" s="1"/>
  <c r="R139" i="7"/>
  <c r="U139" i="7" s="1"/>
  <c r="P96" i="8"/>
  <c r="U268" i="9"/>
  <c r="T375" i="10"/>
  <c r="Q599" i="10"/>
  <c r="T599" i="10" s="1"/>
  <c r="U375" i="10"/>
  <c r="L173" i="11"/>
  <c r="O173" i="11" s="1"/>
  <c r="P188" i="11"/>
  <c r="T186" i="11"/>
  <c r="R728" i="12"/>
  <c r="U728" i="12" s="1"/>
  <c r="U305" i="12"/>
  <c r="R303" i="12"/>
  <c r="U303" i="12" s="1"/>
  <c r="M356" i="12"/>
  <c r="P356" i="12" s="1"/>
  <c r="O61" i="12"/>
  <c r="L59" i="12"/>
  <c r="O59" i="12" s="1"/>
  <c r="T616" i="2"/>
  <c r="O141" i="1"/>
  <c r="P189" i="7"/>
  <c r="T416" i="11"/>
  <c r="P284" i="12"/>
  <c r="M282" i="12"/>
  <c r="P282" i="12" s="1"/>
  <c r="T415" i="12"/>
  <c r="Q413" i="12"/>
  <c r="T413" i="12" s="1"/>
  <c r="K83" i="12"/>
  <c r="I71" i="12"/>
  <c r="K71" i="12" s="1"/>
  <c r="Q760" i="12"/>
  <c r="T760" i="12" s="1"/>
  <c r="T762" i="12"/>
  <c r="Q599" i="12"/>
  <c r="T599" i="12" s="1"/>
  <c r="T601" i="12"/>
  <c r="L333" i="12"/>
  <c r="O333" i="12" s="1"/>
  <c r="O46" i="12"/>
  <c r="L44" i="12"/>
  <c r="L493" i="5"/>
  <c r="O493" i="5" s="1"/>
  <c r="T377" i="8"/>
  <c r="N186" i="8"/>
  <c r="O186" i="8" s="1"/>
  <c r="T268" i="9"/>
  <c r="U189" i="11"/>
  <c r="R690" i="12"/>
  <c r="U690" i="12" s="1"/>
  <c r="U692" i="12"/>
  <c r="P557" i="12"/>
  <c r="M555" i="12"/>
  <c r="P555" i="12" s="1"/>
  <c r="U268" i="12"/>
  <c r="S266" i="12"/>
  <c r="T186" i="3"/>
  <c r="U601" i="4"/>
  <c r="T188" i="5"/>
  <c r="P175" i="6"/>
  <c r="R690" i="8"/>
  <c r="U690" i="8" s="1"/>
  <c r="M599" i="9"/>
  <c r="P599" i="9" s="1"/>
  <c r="P305" i="9"/>
  <c r="M157" i="9"/>
  <c r="P157" i="9" s="1"/>
  <c r="Q266" i="9"/>
  <c r="T266" i="9" s="1"/>
  <c r="R303" i="10"/>
  <c r="U303" i="10" s="1"/>
  <c r="O141" i="10"/>
  <c r="O358" i="10"/>
  <c r="T269" i="11"/>
  <c r="R642" i="12"/>
  <c r="U642" i="12" s="1"/>
  <c r="U644" i="12"/>
  <c r="T495" i="12"/>
  <c r="Q493" i="12"/>
  <c r="T493" i="12" s="1"/>
  <c r="K423" i="12"/>
  <c r="I412" i="12"/>
  <c r="K412" i="12" s="1"/>
  <c r="O175" i="12"/>
  <c r="N173" i="12"/>
  <c r="N40" i="12" s="1"/>
  <c r="L20" i="12"/>
  <c r="O26" i="12"/>
  <c r="O336" i="12"/>
  <c r="P24" i="12"/>
  <c r="M20" i="12"/>
  <c r="P26" i="12"/>
  <c r="Q493" i="9"/>
  <c r="T493" i="9" s="1"/>
  <c r="T142" i="9"/>
  <c r="U377" i="10"/>
  <c r="N24" i="10"/>
  <c r="O24" i="10" s="1"/>
  <c r="L59" i="11"/>
  <c r="O59" i="11" s="1"/>
  <c r="U760" i="12"/>
  <c r="L534" i="12"/>
  <c r="O534" i="12" s="1"/>
  <c r="L576" i="12"/>
  <c r="O576" i="12" s="1"/>
  <c r="P415" i="12"/>
  <c r="M413" i="12"/>
  <c r="P413" i="12" s="1"/>
  <c r="M44" i="12"/>
  <c r="Q173" i="12"/>
  <c r="T173" i="12" s="1"/>
  <c r="T268" i="12"/>
  <c r="N21" i="12"/>
  <c r="P21" i="12" s="1"/>
  <c r="N20" i="12"/>
  <c r="N18" i="12" s="1"/>
  <c r="O23" i="12"/>
  <c r="P175" i="10"/>
  <c r="U416" i="11"/>
  <c r="O415" i="11"/>
  <c r="T731" i="8"/>
  <c r="M21" i="10"/>
  <c r="P21" i="10" s="1"/>
  <c r="O188" i="10"/>
  <c r="P61" i="11"/>
  <c r="Q24" i="10"/>
  <c r="T24" i="10" s="1"/>
  <c r="M320" i="11"/>
  <c r="P320" i="11" s="1"/>
  <c r="P59" i="11"/>
  <c r="T495" i="11"/>
  <c r="Q493" i="11"/>
  <c r="T493" i="11" s="1"/>
  <c r="R186" i="11"/>
  <c r="U186" i="11" s="1"/>
  <c r="U188" i="11"/>
  <c r="T74" i="1"/>
  <c r="P578" i="5"/>
  <c r="Q139" i="8"/>
  <c r="T139" i="8" s="1"/>
  <c r="O356" i="8"/>
  <c r="N576" i="9"/>
  <c r="P576" i="9" s="1"/>
  <c r="T26" i="9"/>
  <c r="T141" i="9"/>
  <c r="T119" i="10"/>
  <c r="T730" i="11"/>
  <c r="U96" i="11"/>
  <c r="R94" i="11"/>
  <c r="U94" i="11" s="1"/>
  <c r="T141" i="1"/>
  <c r="Q599" i="4"/>
  <c r="T599" i="4" s="1"/>
  <c r="U306" i="5"/>
  <c r="T730" i="6"/>
  <c r="L282" i="8"/>
  <c r="O282" i="8" s="1"/>
  <c r="O96" i="9"/>
  <c r="U123" i="9"/>
  <c r="O303" i="9"/>
  <c r="L320" i="10"/>
  <c r="O320" i="10" s="1"/>
  <c r="T268" i="10"/>
  <c r="P59" i="10"/>
  <c r="Q157" i="10"/>
  <c r="T157" i="10" s="1"/>
  <c r="R493" i="11"/>
  <c r="U493" i="11" s="1"/>
  <c r="T413" i="11"/>
  <c r="P47" i="11"/>
  <c r="N413" i="11"/>
  <c r="P413" i="11" s="1"/>
  <c r="L599" i="11"/>
  <c r="O599" i="11" s="1"/>
  <c r="O601" i="11"/>
  <c r="U394" i="11"/>
  <c r="R392" i="11"/>
  <c r="U392" i="11" s="1"/>
  <c r="T693" i="1"/>
  <c r="R72" i="5"/>
  <c r="U72" i="5" s="1"/>
  <c r="O141" i="4"/>
  <c r="T269" i="5"/>
  <c r="Q642" i="6"/>
  <c r="T642" i="6" s="1"/>
  <c r="Q690" i="6"/>
  <c r="T690" i="6" s="1"/>
  <c r="O61" i="7"/>
  <c r="M555" i="9"/>
  <c r="P555" i="9" s="1"/>
  <c r="O356" i="9"/>
  <c r="R616" i="10"/>
  <c r="U616" i="10" s="1"/>
  <c r="P61" i="10"/>
  <c r="O65" i="10"/>
  <c r="U762" i="11"/>
  <c r="Q642" i="11"/>
  <c r="T642" i="11" s="1"/>
  <c r="L282" i="11"/>
  <c r="O282" i="11" s="1"/>
  <c r="M599" i="11"/>
  <c r="P599" i="11" s="1"/>
  <c r="P601" i="11"/>
  <c r="U268" i="11"/>
  <c r="T188" i="11"/>
  <c r="M493" i="11"/>
  <c r="P493" i="11" s="1"/>
  <c r="P495" i="11"/>
  <c r="Q642" i="9"/>
  <c r="T642" i="9" s="1"/>
  <c r="I70" i="9"/>
  <c r="K70" i="9" s="1"/>
  <c r="O358" i="9"/>
  <c r="L157" i="10"/>
  <c r="O157" i="10" s="1"/>
  <c r="K689" i="10"/>
  <c r="T731" i="11"/>
  <c r="O359" i="11"/>
  <c r="P159" i="11"/>
  <c r="M157" i="11"/>
  <c r="P157" i="11" s="1"/>
  <c r="U730" i="6"/>
  <c r="T74" i="9"/>
  <c r="R157" i="10"/>
  <c r="U157" i="10" s="1"/>
  <c r="O336" i="11"/>
  <c r="P377" i="11"/>
  <c r="M375" i="11"/>
  <c r="P375" i="11" s="1"/>
  <c r="P175" i="11"/>
  <c r="M173" i="11"/>
  <c r="P173" i="11" s="1"/>
  <c r="R599" i="11"/>
  <c r="U599" i="11" s="1"/>
  <c r="U601" i="11"/>
  <c r="K423" i="11"/>
  <c r="I412" i="11"/>
  <c r="K412" i="11" s="1"/>
  <c r="U416" i="6"/>
  <c r="R94" i="7"/>
  <c r="U94" i="7" s="1"/>
  <c r="Q392" i="8"/>
  <c r="T392" i="8" s="1"/>
  <c r="T119" i="8"/>
  <c r="R616" i="9"/>
  <c r="U616" i="9" s="1"/>
  <c r="L282" i="9"/>
  <c r="O282" i="9" s="1"/>
  <c r="P269" i="9"/>
  <c r="O141" i="9"/>
  <c r="M20" i="9"/>
  <c r="M18" i="9" s="1"/>
  <c r="L356" i="10"/>
  <c r="O356" i="10" s="1"/>
  <c r="R599" i="10"/>
  <c r="U599" i="10" s="1"/>
  <c r="O335" i="11"/>
  <c r="L157" i="11"/>
  <c r="O157" i="11" s="1"/>
  <c r="O159" i="11"/>
  <c r="O47" i="11"/>
  <c r="R690" i="7"/>
  <c r="U690" i="7" s="1"/>
  <c r="P268" i="6"/>
  <c r="Q616" i="9"/>
  <c r="T616" i="9" s="1"/>
  <c r="Q413" i="10"/>
  <c r="T413" i="10" s="1"/>
  <c r="T377" i="10"/>
  <c r="O578" i="11"/>
  <c r="L576" i="11"/>
  <c r="O576" i="11" s="1"/>
  <c r="U731" i="11"/>
  <c r="P23" i="11"/>
  <c r="M20" i="11"/>
  <c r="M21" i="11"/>
  <c r="P21" i="11" s="1"/>
  <c r="P44" i="11"/>
  <c r="L493" i="11"/>
  <c r="O493" i="11" s="1"/>
  <c r="Q599" i="11"/>
  <c r="T599" i="11" s="1"/>
  <c r="T601" i="11"/>
  <c r="Q392" i="11"/>
  <c r="T392" i="11" s="1"/>
  <c r="K253" i="11"/>
  <c r="I231" i="11"/>
  <c r="L534" i="11"/>
  <c r="O534" i="11" s="1"/>
  <c r="M356" i="11"/>
  <c r="P356" i="11" s="1"/>
  <c r="M139" i="11"/>
  <c r="P139" i="11" s="1"/>
  <c r="P141" i="11"/>
  <c r="M72" i="11"/>
  <c r="P72" i="11" s="1"/>
  <c r="P74" i="11"/>
  <c r="R24" i="11"/>
  <c r="U24" i="11" s="1"/>
  <c r="U26" i="11"/>
  <c r="U119" i="11"/>
  <c r="R117" i="11"/>
  <c r="U117" i="11" s="1"/>
  <c r="N24" i="1"/>
  <c r="O119" i="7"/>
  <c r="O336" i="8"/>
  <c r="P141" i="9"/>
  <c r="M173" i="9"/>
  <c r="P173" i="9" s="1"/>
  <c r="O305" i="9"/>
  <c r="O377" i="10"/>
  <c r="L513" i="11"/>
  <c r="O513" i="11" s="1"/>
  <c r="O515" i="11"/>
  <c r="R72" i="11"/>
  <c r="U72" i="11" s="1"/>
  <c r="L24" i="11"/>
  <c r="O24" i="11" s="1"/>
  <c r="O26" i="11"/>
  <c r="O96" i="11"/>
  <c r="L94" i="11"/>
  <c r="O94" i="11" s="1"/>
  <c r="I70" i="11"/>
  <c r="K70" i="11" s="1"/>
  <c r="K82" i="11"/>
  <c r="P188" i="6"/>
  <c r="M555" i="8"/>
  <c r="P555" i="8" s="1"/>
  <c r="O415" i="8"/>
  <c r="T117" i="9"/>
  <c r="O375" i="10"/>
  <c r="S117" i="10"/>
  <c r="U117" i="10" s="1"/>
  <c r="M333" i="11"/>
  <c r="P333" i="11" s="1"/>
  <c r="P335" i="11"/>
  <c r="M513" i="11"/>
  <c r="P513" i="11" s="1"/>
  <c r="M534" i="11"/>
  <c r="P534" i="11" s="1"/>
  <c r="P536" i="11"/>
  <c r="O333" i="11"/>
  <c r="N266" i="11"/>
  <c r="N40" i="11" s="1"/>
  <c r="O268" i="11"/>
  <c r="T23" i="11"/>
  <c r="Q20" i="11"/>
  <c r="N20" i="11"/>
  <c r="N18" i="11" s="1"/>
  <c r="O306" i="9"/>
  <c r="U730" i="11"/>
  <c r="R728" i="11"/>
  <c r="U728" i="11" s="1"/>
  <c r="P578" i="11"/>
  <c r="M576" i="11"/>
  <c r="P576" i="11" s="1"/>
  <c r="Q21" i="11"/>
  <c r="P268" i="11"/>
  <c r="L139" i="11"/>
  <c r="O139" i="11" s="1"/>
  <c r="O141" i="11"/>
  <c r="L21" i="11"/>
  <c r="O21" i="11" s="1"/>
  <c r="O23" i="11"/>
  <c r="L20" i="11"/>
  <c r="O119" i="11"/>
  <c r="L117" i="11"/>
  <c r="O117" i="11" s="1"/>
  <c r="S20" i="11"/>
  <c r="S18" i="11" s="1"/>
  <c r="S21" i="11"/>
  <c r="U21" i="11" s="1"/>
  <c r="L576" i="8"/>
  <c r="O576" i="8" s="1"/>
  <c r="Q157" i="8"/>
  <c r="T157" i="8" s="1"/>
  <c r="P159" i="8"/>
  <c r="T96" i="9"/>
  <c r="U120" i="9"/>
  <c r="O61" i="9"/>
  <c r="P322" i="9"/>
  <c r="T266" i="10"/>
  <c r="P173" i="10"/>
  <c r="K82" i="10"/>
  <c r="L186" i="10"/>
  <c r="O186" i="10" s="1"/>
  <c r="O46" i="9"/>
  <c r="P557" i="10"/>
  <c r="M555" i="10"/>
  <c r="P555" i="10" s="1"/>
  <c r="O333" i="10"/>
  <c r="P46" i="9"/>
  <c r="L599" i="9"/>
  <c r="O599" i="9" s="1"/>
  <c r="T120" i="9"/>
  <c r="O119" i="10"/>
  <c r="L117" i="10"/>
  <c r="O117" i="10" s="1"/>
  <c r="P578" i="10"/>
  <c r="M576" i="10"/>
  <c r="P576" i="10" s="1"/>
  <c r="U415" i="6"/>
  <c r="O61" i="8"/>
  <c r="N266" i="8"/>
  <c r="P266" i="8" s="1"/>
  <c r="M375" i="9"/>
  <c r="P375" i="9" s="1"/>
  <c r="P96" i="9"/>
  <c r="S139" i="9"/>
  <c r="T139" i="9" s="1"/>
  <c r="L186" i="9"/>
  <c r="O186" i="9" s="1"/>
  <c r="O601" i="10"/>
  <c r="L599" i="10"/>
  <c r="O599" i="10" s="1"/>
  <c r="U119" i="10"/>
  <c r="L493" i="1"/>
  <c r="O333" i="8"/>
  <c r="O268" i="8"/>
  <c r="R599" i="9"/>
  <c r="U599" i="9" s="1"/>
  <c r="R139" i="10"/>
  <c r="U139" i="10" s="1"/>
  <c r="O578" i="10"/>
  <c r="L576" i="10"/>
  <c r="O576" i="10" s="1"/>
  <c r="P377" i="10"/>
  <c r="M375" i="10"/>
  <c r="P375" i="10" s="1"/>
  <c r="P536" i="10"/>
  <c r="M534" i="10"/>
  <c r="P534" i="10" s="1"/>
  <c r="O284" i="10"/>
  <c r="L282" i="10"/>
  <c r="O282" i="10" s="1"/>
  <c r="R493" i="3"/>
  <c r="U493" i="3" s="1"/>
  <c r="U619" i="5"/>
  <c r="T415" i="6"/>
  <c r="L282" i="7"/>
  <c r="O282" i="7" s="1"/>
  <c r="U760" i="8"/>
  <c r="Q760" i="8"/>
  <c r="T760" i="8" s="1"/>
  <c r="P266" i="9"/>
  <c r="O26" i="10"/>
  <c r="P96" i="10"/>
  <c r="O515" i="10"/>
  <c r="L513" i="10"/>
  <c r="O513" i="10" s="1"/>
  <c r="P601" i="10"/>
  <c r="M599" i="10"/>
  <c r="P599" i="10" s="1"/>
  <c r="T495" i="1"/>
  <c r="O142" i="4"/>
  <c r="P142" i="9"/>
  <c r="S72" i="9"/>
  <c r="T72" i="9" s="1"/>
  <c r="O335" i="10"/>
  <c r="T96" i="10"/>
  <c r="Q94" i="10"/>
  <c r="T94" i="10" s="1"/>
  <c r="P335" i="10"/>
  <c r="R493" i="5"/>
  <c r="U493" i="5" s="1"/>
  <c r="P416" i="9"/>
  <c r="U96" i="8"/>
  <c r="R493" i="10"/>
  <c r="U493" i="10" s="1"/>
  <c r="U188" i="10"/>
  <c r="R186" i="10"/>
  <c r="U186" i="10" s="1"/>
  <c r="N40" i="10"/>
  <c r="U188" i="6"/>
  <c r="N59" i="7"/>
  <c r="O59" i="7" s="1"/>
  <c r="S173" i="7"/>
  <c r="T173" i="7" s="1"/>
  <c r="R642" i="8"/>
  <c r="U642" i="8" s="1"/>
  <c r="Q413" i="8"/>
  <c r="T413" i="8" s="1"/>
  <c r="R392" i="9"/>
  <c r="U392" i="9" s="1"/>
  <c r="M44" i="9"/>
  <c r="P44" i="9" s="1"/>
  <c r="Q616" i="10"/>
  <c r="T616" i="10" s="1"/>
  <c r="T618" i="10"/>
  <c r="Q186" i="10"/>
  <c r="T186" i="10" s="1"/>
  <c r="O46" i="10"/>
  <c r="L44" i="10"/>
  <c r="U19" i="10"/>
  <c r="T19" i="10"/>
  <c r="U762" i="10"/>
  <c r="P26" i="10"/>
  <c r="M24" i="10"/>
  <c r="U74" i="10"/>
  <c r="R72" i="10"/>
  <c r="U72" i="10" s="1"/>
  <c r="M72" i="10"/>
  <c r="P72" i="10" s="1"/>
  <c r="O19" i="10"/>
  <c r="R24" i="10"/>
  <c r="U24" i="10" s="1"/>
  <c r="M20" i="10"/>
  <c r="U760" i="10"/>
  <c r="Q139" i="10"/>
  <c r="T139" i="10" s="1"/>
  <c r="T141" i="10"/>
  <c r="O23" i="10"/>
  <c r="L20" i="10"/>
  <c r="S21" i="10"/>
  <c r="U21" i="10" s="1"/>
  <c r="S20" i="10"/>
  <c r="S18" i="10" s="1"/>
  <c r="L59" i="10"/>
  <c r="O59" i="10" s="1"/>
  <c r="O61" i="10"/>
  <c r="Q72" i="10"/>
  <c r="T72" i="10" s="1"/>
  <c r="R728" i="10"/>
  <c r="U728" i="10" s="1"/>
  <c r="U730" i="10"/>
  <c r="U763" i="10"/>
  <c r="P415" i="10"/>
  <c r="R266" i="10"/>
  <c r="U266" i="10" s="1"/>
  <c r="U268" i="10"/>
  <c r="P159" i="10"/>
  <c r="M157" i="10"/>
  <c r="P157" i="10" s="1"/>
  <c r="T75" i="1"/>
  <c r="R117" i="1"/>
  <c r="U117" i="1" s="1"/>
  <c r="L266" i="8"/>
  <c r="O96" i="8"/>
  <c r="L493" i="10"/>
  <c r="O493" i="10" s="1"/>
  <c r="Q392" i="10"/>
  <c r="T392" i="10" s="1"/>
  <c r="T394" i="10"/>
  <c r="T762" i="10"/>
  <c r="M513" i="10"/>
  <c r="P513" i="10" s="1"/>
  <c r="P515" i="10"/>
  <c r="I231" i="10"/>
  <c r="K242" i="10"/>
  <c r="M44" i="10"/>
  <c r="P46" i="10"/>
  <c r="R20" i="10"/>
  <c r="T23" i="10"/>
  <c r="Q20" i="10"/>
  <c r="M320" i="10"/>
  <c r="P320" i="10" s="1"/>
  <c r="Q21" i="10"/>
  <c r="Q493" i="1"/>
  <c r="Q303" i="1"/>
  <c r="O269" i="1"/>
  <c r="N20" i="6"/>
  <c r="N18" i="6" s="1"/>
  <c r="U303" i="7"/>
  <c r="L117" i="8"/>
  <c r="O117" i="8" s="1"/>
  <c r="T690" i="9"/>
  <c r="P188" i="10"/>
  <c r="M186" i="10"/>
  <c r="P186" i="10" s="1"/>
  <c r="O243" i="10"/>
  <c r="L232" i="10"/>
  <c r="U23" i="10"/>
  <c r="L493" i="9"/>
  <c r="O493" i="9" s="1"/>
  <c r="K83" i="10"/>
  <c r="I71" i="10"/>
  <c r="K71" i="10" s="1"/>
  <c r="L21" i="10"/>
  <c r="O21" i="10" s="1"/>
  <c r="P26" i="9"/>
  <c r="M24" i="9"/>
  <c r="P24" i="9" s="1"/>
  <c r="L94" i="2"/>
  <c r="O94" i="2" s="1"/>
  <c r="O47" i="5"/>
  <c r="M513" i="6"/>
  <c r="P513" i="6" s="1"/>
  <c r="R599" i="7"/>
  <c r="U599" i="7" s="1"/>
  <c r="K83" i="8"/>
  <c r="P61" i="9"/>
  <c r="O94" i="8"/>
  <c r="K374" i="4"/>
  <c r="P333" i="5"/>
  <c r="M303" i="9"/>
  <c r="P303" i="9" s="1"/>
  <c r="K374" i="6"/>
  <c r="R413" i="8"/>
  <c r="U413" i="8" s="1"/>
  <c r="P59" i="9"/>
  <c r="T119" i="9"/>
  <c r="U375" i="2"/>
  <c r="S94" i="1"/>
  <c r="M555" i="7"/>
  <c r="P555" i="7" s="1"/>
  <c r="L303" i="7"/>
  <c r="O303" i="7" s="1"/>
  <c r="Q728" i="8"/>
  <c r="T728" i="8" s="1"/>
  <c r="M282" i="9"/>
  <c r="P282" i="9" s="1"/>
  <c r="P175" i="5"/>
  <c r="U306" i="7"/>
  <c r="U618" i="8"/>
  <c r="U268" i="8"/>
  <c r="T692" i="9"/>
  <c r="L94" i="9"/>
  <c r="O94" i="9" s="1"/>
  <c r="T416" i="9"/>
  <c r="U188" i="9"/>
  <c r="R157" i="6"/>
  <c r="U157" i="6" s="1"/>
  <c r="P306" i="9"/>
  <c r="J458" i="1"/>
  <c r="K458" i="1" s="1"/>
  <c r="T730" i="1"/>
  <c r="U140" i="1"/>
  <c r="R493" i="2"/>
  <c r="U493" i="2" s="1"/>
  <c r="K701" i="3"/>
  <c r="U186" i="3"/>
  <c r="P536" i="5"/>
  <c r="O601" i="6"/>
  <c r="O175" i="7"/>
  <c r="P335" i="7"/>
  <c r="R375" i="8"/>
  <c r="U375" i="8" s="1"/>
  <c r="T416" i="8"/>
  <c r="R157" i="8"/>
  <c r="U157" i="8" s="1"/>
  <c r="M513" i="9"/>
  <c r="P513" i="9" s="1"/>
  <c r="L555" i="9"/>
  <c r="O555" i="9" s="1"/>
  <c r="O413" i="9"/>
  <c r="N40" i="9"/>
  <c r="L173" i="9"/>
  <c r="O173" i="9" s="1"/>
  <c r="L20" i="9"/>
  <c r="L18" i="9" s="1"/>
  <c r="L266" i="9"/>
  <c r="O266" i="9" s="1"/>
  <c r="T268" i="3"/>
  <c r="T159" i="4"/>
  <c r="U416" i="5"/>
  <c r="K374" i="5"/>
  <c r="U619" i="7"/>
  <c r="P377" i="7"/>
  <c r="P269" i="7"/>
  <c r="Q24" i="7"/>
  <c r="T24" i="7" s="1"/>
  <c r="P356" i="8"/>
  <c r="S20" i="8"/>
  <c r="S18" i="8" s="1"/>
  <c r="T269" i="8"/>
  <c r="M72" i="8"/>
  <c r="P72" i="8" s="1"/>
  <c r="U762" i="9"/>
  <c r="R728" i="9"/>
  <c r="U728" i="9" s="1"/>
  <c r="L333" i="9"/>
  <c r="O333" i="9" s="1"/>
  <c r="L157" i="9"/>
  <c r="O157" i="9" s="1"/>
  <c r="R493" i="9"/>
  <c r="U493" i="9" s="1"/>
  <c r="R59" i="1"/>
  <c r="U59" i="1" s="1"/>
  <c r="T619" i="6"/>
  <c r="S413" i="9"/>
  <c r="T413" i="9" s="1"/>
  <c r="U74" i="1"/>
  <c r="O495" i="4"/>
  <c r="T186" i="4"/>
  <c r="S20" i="7"/>
  <c r="S18" i="7" s="1"/>
  <c r="O378" i="7"/>
  <c r="Q72" i="8"/>
  <c r="T72" i="8" s="1"/>
  <c r="U94" i="8"/>
  <c r="P173" i="8"/>
  <c r="U693" i="9"/>
  <c r="L375" i="9"/>
  <c r="O375" i="9" s="1"/>
  <c r="L117" i="9"/>
  <c r="O117" i="9" s="1"/>
  <c r="O322" i="9"/>
  <c r="L320" i="9"/>
  <c r="O320" i="9" s="1"/>
  <c r="P536" i="9"/>
  <c r="M534" i="9"/>
  <c r="P534" i="9" s="1"/>
  <c r="L24" i="9"/>
  <c r="O24" i="9" s="1"/>
  <c r="U645" i="1"/>
  <c r="U176" i="1"/>
  <c r="R72" i="2"/>
  <c r="U72" i="2" s="1"/>
  <c r="S375" i="3"/>
  <c r="U375" i="3" s="1"/>
  <c r="P413" i="4"/>
  <c r="P61" i="6"/>
  <c r="T189" i="8"/>
  <c r="P413" i="9"/>
  <c r="O269" i="9"/>
  <c r="L59" i="9"/>
  <c r="O59" i="9" s="1"/>
  <c r="S24" i="9"/>
  <c r="T24" i="9" s="1"/>
  <c r="U142" i="9"/>
  <c r="O139" i="3"/>
  <c r="M72" i="5"/>
  <c r="P72" i="5" s="1"/>
  <c r="T728" i="6"/>
  <c r="Q186" i="7"/>
  <c r="T186" i="7" s="1"/>
  <c r="O62" i="8"/>
  <c r="P358" i="8"/>
  <c r="R690" i="9"/>
  <c r="U690" i="9" s="1"/>
  <c r="U692" i="9"/>
  <c r="U306" i="9"/>
  <c r="T306" i="9"/>
  <c r="M356" i="9"/>
  <c r="P356" i="9" s="1"/>
  <c r="K423" i="9"/>
  <c r="I412" i="9"/>
  <c r="K412" i="9" s="1"/>
  <c r="U96" i="9"/>
  <c r="R94" i="9"/>
  <c r="U94" i="9" s="1"/>
  <c r="R117" i="9"/>
  <c r="U117" i="9" s="1"/>
  <c r="O336" i="9"/>
  <c r="U97" i="9"/>
  <c r="S20" i="9"/>
  <c r="S18" i="9" s="1"/>
  <c r="R642" i="9"/>
  <c r="U642" i="9" s="1"/>
  <c r="U644" i="9"/>
  <c r="P72" i="9"/>
  <c r="R20" i="9"/>
  <c r="U23" i="9"/>
  <c r="Q20" i="9"/>
  <c r="T23" i="9"/>
  <c r="O44" i="9"/>
  <c r="N20" i="9"/>
  <c r="N18" i="9" s="1"/>
  <c r="O23" i="9"/>
  <c r="N21" i="9"/>
  <c r="O74" i="9"/>
  <c r="R72" i="8"/>
  <c r="U72" i="8" s="1"/>
  <c r="S117" i="8"/>
  <c r="T117" i="8" s="1"/>
  <c r="O578" i="9"/>
  <c r="L576" i="9"/>
  <c r="O515" i="9"/>
  <c r="L513" i="9"/>
  <c r="O513" i="9" s="1"/>
  <c r="R21" i="9"/>
  <c r="U21" i="9" s="1"/>
  <c r="R139" i="9"/>
  <c r="U141" i="9"/>
  <c r="Q94" i="9"/>
  <c r="T94" i="9" s="1"/>
  <c r="U760" i="9"/>
  <c r="Q599" i="9"/>
  <c r="T599" i="9" s="1"/>
  <c r="T601" i="9"/>
  <c r="K242" i="9"/>
  <c r="I231" i="9"/>
  <c r="P415" i="9"/>
  <c r="Q21" i="9"/>
  <c r="T21" i="9" s="1"/>
  <c r="P74" i="9"/>
  <c r="P23" i="9"/>
  <c r="U74" i="9"/>
  <c r="T730" i="7"/>
  <c r="P186" i="7"/>
  <c r="R616" i="8"/>
  <c r="U616" i="8" s="1"/>
  <c r="O536" i="9"/>
  <c r="L534" i="9"/>
  <c r="O534" i="9" s="1"/>
  <c r="R375" i="9"/>
  <c r="U375" i="9" s="1"/>
  <c r="U303" i="9"/>
  <c r="O415" i="9"/>
  <c r="K83" i="9"/>
  <c r="I71" i="9"/>
  <c r="K71" i="9" s="1"/>
  <c r="L232" i="9"/>
  <c r="O72" i="9"/>
  <c r="P188" i="9"/>
  <c r="M186" i="9"/>
  <c r="P186" i="9" s="1"/>
  <c r="M139" i="9"/>
  <c r="P139" i="9" s="1"/>
  <c r="U26" i="9"/>
  <c r="P268" i="5"/>
  <c r="P358" i="5"/>
  <c r="T117" i="6"/>
  <c r="P46" i="6"/>
  <c r="O378" i="8"/>
  <c r="Q760" i="9"/>
  <c r="T760" i="9" s="1"/>
  <c r="T762" i="9"/>
  <c r="Q186" i="9"/>
  <c r="T186" i="9" s="1"/>
  <c r="T189" i="1"/>
  <c r="R493" i="4"/>
  <c r="U493" i="4" s="1"/>
  <c r="O21" i="6"/>
  <c r="O415" i="6"/>
  <c r="P268" i="7"/>
  <c r="U175" i="7"/>
  <c r="O358" i="8"/>
  <c r="R173" i="8"/>
  <c r="U173" i="8" s="1"/>
  <c r="N21" i="8"/>
  <c r="O21" i="8" s="1"/>
  <c r="I70" i="7"/>
  <c r="K70" i="7" s="1"/>
  <c r="T305" i="8"/>
  <c r="Q642" i="8"/>
  <c r="T642" i="8" s="1"/>
  <c r="L72" i="6"/>
  <c r="O72" i="6" s="1"/>
  <c r="T728" i="7"/>
  <c r="U119" i="8"/>
  <c r="T375" i="8"/>
  <c r="L232" i="7"/>
  <c r="P119" i="7"/>
  <c r="L59" i="8"/>
  <c r="O59" i="8" s="1"/>
  <c r="S266" i="8"/>
  <c r="U266" i="8" s="1"/>
  <c r="M117" i="8"/>
  <c r="P117" i="8" s="1"/>
  <c r="N20" i="7"/>
  <c r="N18" i="7" s="1"/>
  <c r="L320" i="8"/>
  <c r="O320" i="8" s="1"/>
  <c r="M303" i="8"/>
  <c r="P303" i="8" s="1"/>
  <c r="O335" i="8"/>
  <c r="P94" i="8"/>
  <c r="Q173" i="8"/>
  <c r="T173" i="8" s="1"/>
  <c r="O536" i="8"/>
  <c r="L534" i="8"/>
  <c r="O534" i="8" s="1"/>
  <c r="P21" i="7"/>
  <c r="T96" i="8"/>
  <c r="Q94" i="8"/>
  <c r="T94" i="8" s="1"/>
  <c r="O74" i="8"/>
  <c r="L72" i="8"/>
  <c r="O72" i="8" s="1"/>
  <c r="O74" i="5"/>
  <c r="I71" i="6"/>
  <c r="K71" i="6" s="1"/>
  <c r="L94" i="6"/>
  <c r="O94" i="6" s="1"/>
  <c r="M266" i="6"/>
  <c r="P266" i="6" s="1"/>
  <c r="Q139" i="7"/>
  <c r="T139" i="7" s="1"/>
  <c r="L555" i="8"/>
  <c r="O555" i="8" s="1"/>
  <c r="R139" i="8"/>
  <c r="U139" i="8" s="1"/>
  <c r="P284" i="8"/>
  <c r="M282" i="8"/>
  <c r="P282" i="8" s="1"/>
  <c r="P601" i="8"/>
  <c r="M599" i="8"/>
  <c r="P599" i="8" s="1"/>
  <c r="O495" i="1"/>
  <c r="U495" i="1"/>
  <c r="Q24" i="2"/>
  <c r="T24" i="2" s="1"/>
  <c r="Q392" i="3"/>
  <c r="T392" i="3" s="1"/>
  <c r="O61" i="4"/>
  <c r="K701" i="5"/>
  <c r="K82" i="5"/>
  <c r="L375" i="5"/>
  <c r="O375" i="5" s="1"/>
  <c r="T26" i="5"/>
  <c r="R392" i="6"/>
  <c r="U392" i="6" s="1"/>
  <c r="O176" i="7"/>
  <c r="U762" i="7"/>
  <c r="U728" i="7"/>
  <c r="U763" i="8"/>
  <c r="T763" i="8"/>
  <c r="P415" i="8"/>
  <c r="M413" i="8"/>
  <c r="P413" i="8" s="1"/>
  <c r="O377" i="8"/>
  <c r="L493" i="8"/>
  <c r="O493" i="8" s="1"/>
  <c r="O495" i="8"/>
  <c r="S303" i="8"/>
  <c r="T303" i="8" s="1"/>
  <c r="O175" i="8"/>
  <c r="L173" i="8"/>
  <c r="O173" i="8" s="1"/>
  <c r="P141" i="8"/>
  <c r="M139" i="8"/>
  <c r="P139" i="8" s="1"/>
  <c r="P19" i="8"/>
  <c r="Q266" i="8"/>
  <c r="T268" i="8"/>
  <c r="R21" i="8"/>
  <c r="U21" i="8" s="1"/>
  <c r="U23" i="8"/>
  <c r="R20" i="8"/>
  <c r="U120" i="1"/>
  <c r="Q72" i="2"/>
  <c r="T72" i="2" s="1"/>
  <c r="P335" i="3"/>
  <c r="O46" i="8"/>
  <c r="L44" i="8"/>
  <c r="O243" i="8"/>
  <c r="L232" i="8"/>
  <c r="O159" i="8"/>
  <c r="L157" i="8"/>
  <c r="O157" i="8" s="1"/>
  <c r="P176" i="8"/>
  <c r="U188" i="8"/>
  <c r="S186" i="8"/>
  <c r="U186" i="8" s="1"/>
  <c r="M59" i="8"/>
  <c r="P59" i="8" s="1"/>
  <c r="P61" i="8"/>
  <c r="N20" i="8"/>
  <c r="N18" i="8" s="1"/>
  <c r="P23" i="8"/>
  <c r="R303" i="1"/>
  <c r="Q690" i="2"/>
  <c r="T690" i="2" s="1"/>
  <c r="U268" i="3"/>
  <c r="L513" i="8"/>
  <c r="O513" i="8" s="1"/>
  <c r="O515" i="8"/>
  <c r="Q690" i="8"/>
  <c r="T690" i="8" s="1"/>
  <c r="P578" i="8"/>
  <c r="M576" i="8"/>
  <c r="P576" i="8" s="1"/>
  <c r="M320" i="8"/>
  <c r="P320" i="8" s="1"/>
  <c r="P322" i="8"/>
  <c r="I231" i="8"/>
  <c r="K242" i="8"/>
  <c r="S24" i="8"/>
  <c r="P175" i="8"/>
  <c r="Q24" i="8"/>
  <c r="T24" i="8" s="1"/>
  <c r="T618" i="8"/>
  <c r="Q616" i="8"/>
  <c r="T616" i="8" s="1"/>
  <c r="P536" i="8"/>
  <c r="M534" i="8"/>
  <c r="P534" i="8" s="1"/>
  <c r="O601" i="8"/>
  <c r="L599" i="8"/>
  <c r="O599" i="8" s="1"/>
  <c r="L303" i="8"/>
  <c r="O303" i="8" s="1"/>
  <c r="O305" i="8"/>
  <c r="L18" i="8"/>
  <c r="Q20" i="8"/>
  <c r="T23" i="8"/>
  <c r="Q21" i="8"/>
  <c r="T21" i="8" s="1"/>
  <c r="U731" i="7"/>
  <c r="L139" i="8"/>
  <c r="O139" i="8" s="1"/>
  <c r="O47" i="8"/>
  <c r="T306" i="5"/>
  <c r="M513" i="8"/>
  <c r="P513" i="8" s="1"/>
  <c r="P515" i="8"/>
  <c r="P335" i="8"/>
  <c r="M333" i="8"/>
  <c r="P333" i="8" s="1"/>
  <c r="O413" i="8"/>
  <c r="P188" i="8"/>
  <c r="M186" i="8"/>
  <c r="P186" i="8" s="1"/>
  <c r="R24" i="8"/>
  <c r="U24" i="8" s="1"/>
  <c r="U26" i="8"/>
  <c r="P26" i="8"/>
  <c r="M20" i="8"/>
  <c r="P377" i="8"/>
  <c r="N375" i="8"/>
  <c r="O375" i="8" s="1"/>
  <c r="L24" i="8"/>
  <c r="O24" i="8" s="1"/>
  <c r="O26" i="8"/>
  <c r="M44" i="8"/>
  <c r="P46" i="8"/>
  <c r="M24" i="8"/>
  <c r="P24" i="8" s="1"/>
  <c r="O74" i="1"/>
  <c r="T692" i="5"/>
  <c r="Q493" i="7"/>
  <c r="T493" i="7" s="1"/>
  <c r="O358" i="7"/>
  <c r="T266" i="7"/>
  <c r="U730" i="7"/>
  <c r="O47" i="7"/>
  <c r="M320" i="7"/>
  <c r="P320" i="7" s="1"/>
  <c r="O60" i="1"/>
  <c r="T728" i="3"/>
  <c r="S266" i="3"/>
  <c r="T266" i="3" s="1"/>
  <c r="P335" i="5"/>
  <c r="L117" i="6"/>
  <c r="O117" i="6" s="1"/>
  <c r="P333" i="7"/>
  <c r="Q375" i="1"/>
  <c r="N714" i="1"/>
  <c r="U690" i="5"/>
  <c r="O335" i="5"/>
  <c r="T731" i="5"/>
  <c r="L139" i="6"/>
  <c r="O139" i="6" s="1"/>
  <c r="T394" i="7"/>
  <c r="Q392" i="7"/>
  <c r="T392" i="7" s="1"/>
  <c r="O141" i="7"/>
  <c r="L139" i="7"/>
  <c r="O139" i="7" s="1"/>
  <c r="Q493" i="3"/>
  <c r="T493" i="3" s="1"/>
  <c r="P186" i="4"/>
  <c r="U266" i="5"/>
  <c r="U692" i="5"/>
  <c r="M157" i="6"/>
  <c r="P157" i="6" s="1"/>
  <c r="P413" i="6"/>
  <c r="P23" i="7"/>
  <c r="U305" i="7"/>
  <c r="U139" i="5"/>
  <c r="T159" i="7"/>
  <c r="Q157" i="7"/>
  <c r="T157" i="7" s="1"/>
  <c r="P117" i="7"/>
  <c r="O117" i="7"/>
  <c r="J475" i="1"/>
  <c r="K475" i="1" s="1"/>
  <c r="P358" i="4"/>
  <c r="S20" i="4"/>
  <c r="S18" i="4" s="1"/>
  <c r="M117" i="5"/>
  <c r="P117" i="5" s="1"/>
  <c r="N44" i="6"/>
  <c r="P44" i="6" s="1"/>
  <c r="M94" i="6"/>
  <c r="P94" i="6" s="1"/>
  <c r="Q690" i="7"/>
  <c r="T690" i="7" s="1"/>
  <c r="T378" i="7"/>
  <c r="P578" i="7"/>
  <c r="M576" i="7"/>
  <c r="P576" i="7" s="1"/>
  <c r="O269" i="7"/>
  <c r="P159" i="1"/>
  <c r="O601" i="1"/>
  <c r="P495" i="1"/>
  <c r="Q139" i="2"/>
  <c r="T139" i="2" s="1"/>
  <c r="T119" i="4"/>
  <c r="T692" i="4"/>
  <c r="M94" i="7"/>
  <c r="P94" i="7" s="1"/>
  <c r="P305" i="7"/>
  <c r="M303" i="7"/>
  <c r="P303" i="7" s="1"/>
  <c r="L375" i="7"/>
  <c r="O375" i="7" s="1"/>
  <c r="O377" i="7"/>
  <c r="Q117" i="7"/>
  <c r="T117" i="7" s="1"/>
  <c r="T119" i="7"/>
  <c r="U74" i="7"/>
  <c r="R72" i="7"/>
  <c r="U72" i="7" s="1"/>
  <c r="L266" i="7"/>
  <c r="O266" i="7" s="1"/>
  <c r="O268" i="7"/>
  <c r="S760" i="7"/>
  <c r="U760" i="7" s="1"/>
  <c r="U692" i="2"/>
  <c r="L599" i="4"/>
  <c r="O599" i="4" s="1"/>
  <c r="T141" i="4"/>
  <c r="M555" i="6"/>
  <c r="P555" i="6" s="1"/>
  <c r="M493" i="6"/>
  <c r="P493" i="6" s="1"/>
  <c r="M139" i="7"/>
  <c r="P139" i="7" s="1"/>
  <c r="P536" i="7"/>
  <c r="M534" i="7"/>
  <c r="P534" i="7" s="1"/>
  <c r="T416" i="1"/>
  <c r="U416" i="1"/>
  <c r="T375" i="2"/>
  <c r="U730" i="3"/>
  <c r="O46" i="4"/>
  <c r="U762" i="5"/>
  <c r="U119" i="6"/>
  <c r="T269" i="7"/>
  <c r="R413" i="7"/>
  <c r="U413" i="7" s="1"/>
  <c r="U415" i="7"/>
  <c r="Q24" i="3"/>
  <c r="T24" i="3" s="1"/>
  <c r="U306" i="4"/>
  <c r="O97" i="6"/>
  <c r="P415" i="6"/>
  <c r="L599" i="7"/>
  <c r="O599" i="7" s="1"/>
  <c r="M266" i="7"/>
  <c r="P266" i="7" s="1"/>
  <c r="O515" i="7"/>
  <c r="L513" i="7"/>
  <c r="O513" i="7" s="1"/>
  <c r="P601" i="7"/>
  <c r="M599" i="7"/>
  <c r="P599" i="7" s="1"/>
  <c r="K374" i="7"/>
  <c r="P74" i="7"/>
  <c r="M72" i="7"/>
  <c r="P72" i="7" s="1"/>
  <c r="L413" i="7"/>
  <c r="O413" i="7" s="1"/>
  <c r="O415" i="7"/>
  <c r="P356" i="7"/>
  <c r="O356" i="7"/>
  <c r="T142" i="1"/>
  <c r="U691" i="1"/>
  <c r="O599" i="5"/>
  <c r="U269" i="5"/>
  <c r="Q157" i="6"/>
  <c r="T157" i="6" s="1"/>
  <c r="Q599" i="7"/>
  <c r="T599" i="7" s="1"/>
  <c r="T601" i="7"/>
  <c r="T377" i="7"/>
  <c r="U377" i="7"/>
  <c r="Q642" i="7"/>
  <c r="T642" i="7" s="1"/>
  <c r="Q72" i="7"/>
  <c r="T72" i="7" s="1"/>
  <c r="T74" i="7"/>
  <c r="O46" i="7"/>
  <c r="L44" i="7"/>
  <c r="P26" i="7"/>
  <c r="M20" i="7"/>
  <c r="M24" i="7"/>
  <c r="P24" i="7" s="1"/>
  <c r="O96" i="7"/>
  <c r="L94" i="7"/>
  <c r="O94" i="7" s="1"/>
  <c r="O186" i="7"/>
  <c r="P61" i="7"/>
  <c r="M59" i="7"/>
  <c r="T375" i="7"/>
  <c r="O188" i="7"/>
  <c r="P188" i="7"/>
  <c r="P284" i="7"/>
  <c r="M282" i="7"/>
  <c r="P282" i="7" s="1"/>
  <c r="P19" i="7"/>
  <c r="M513" i="7"/>
  <c r="P513" i="7" s="1"/>
  <c r="P515" i="7"/>
  <c r="T618" i="7"/>
  <c r="Q616" i="7"/>
  <c r="T616" i="7" s="1"/>
  <c r="M375" i="7"/>
  <c r="P375" i="7" s="1"/>
  <c r="P358" i="7"/>
  <c r="R616" i="7"/>
  <c r="U616" i="7" s="1"/>
  <c r="K231" i="7"/>
  <c r="I185" i="7"/>
  <c r="K185" i="7" s="1"/>
  <c r="L24" i="7"/>
  <c r="O24" i="7" s="1"/>
  <c r="O26" i="7"/>
  <c r="T23" i="7"/>
  <c r="Q21" i="7"/>
  <c r="Q20" i="7"/>
  <c r="R20" i="7"/>
  <c r="U23" i="7"/>
  <c r="L20" i="7"/>
  <c r="O23" i="7"/>
  <c r="S21" i="7"/>
  <c r="U21" i="7" s="1"/>
  <c r="L72" i="7"/>
  <c r="O72" i="7" s="1"/>
  <c r="L59" i="4"/>
  <c r="O59" i="4" s="1"/>
  <c r="U413" i="4"/>
  <c r="T645" i="7"/>
  <c r="L333" i="7"/>
  <c r="O333" i="7" s="1"/>
  <c r="O335" i="7"/>
  <c r="I71" i="7"/>
  <c r="K71" i="7" s="1"/>
  <c r="K83" i="7"/>
  <c r="T268" i="7"/>
  <c r="U268" i="7"/>
  <c r="L555" i="7"/>
  <c r="O555" i="7" s="1"/>
  <c r="R117" i="7"/>
  <c r="U117" i="7" s="1"/>
  <c r="T26" i="4"/>
  <c r="T415" i="5"/>
  <c r="L320" i="7"/>
  <c r="O320" i="7" s="1"/>
  <c r="Q303" i="7"/>
  <c r="T303" i="7" s="1"/>
  <c r="T305" i="7"/>
  <c r="R392" i="7"/>
  <c r="U392" i="7" s="1"/>
  <c r="U394" i="7"/>
  <c r="P175" i="7"/>
  <c r="N173" i="7"/>
  <c r="O173" i="7" s="1"/>
  <c r="R24" i="7"/>
  <c r="U24" i="7" s="1"/>
  <c r="U26" i="7"/>
  <c r="L157" i="7"/>
  <c r="O157" i="7" s="1"/>
  <c r="P46" i="7"/>
  <c r="M44" i="7"/>
  <c r="L21" i="7"/>
  <c r="O21" i="7" s="1"/>
  <c r="O305" i="6"/>
  <c r="L303" i="6"/>
  <c r="O303" i="6" s="1"/>
  <c r="T269" i="6"/>
  <c r="O175" i="5"/>
  <c r="R266" i="6"/>
  <c r="U266" i="6" s="1"/>
  <c r="P416" i="6"/>
  <c r="T120" i="6"/>
  <c r="T119" i="6"/>
  <c r="Q157" i="5"/>
  <c r="T157" i="5" s="1"/>
  <c r="P188" i="5"/>
  <c r="N303" i="1"/>
  <c r="U730" i="5"/>
  <c r="T730" i="5"/>
  <c r="O46" i="6"/>
  <c r="Q303" i="6"/>
  <c r="T303" i="6" s="1"/>
  <c r="K82" i="6"/>
  <c r="I70" i="6"/>
  <c r="K70" i="6" s="1"/>
  <c r="O26" i="5"/>
  <c r="O159" i="5"/>
  <c r="S375" i="5"/>
  <c r="U375" i="5" s="1"/>
  <c r="R728" i="6"/>
  <c r="U728" i="6" s="1"/>
  <c r="M576" i="6"/>
  <c r="P576" i="6" s="1"/>
  <c r="L173" i="6"/>
  <c r="O173" i="6" s="1"/>
  <c r="R24" i="6"/>
  <c r="U24" i="6" s="1"/>
  <c r="M139" i="6"/>
  <c r="P139" i="6" s="1"/>
  <c r="M282" i="6"/>
  <c r="P282" i="6" s="1"/>
  <c r="P284" i="6"/>
  <c r="L157" i="4"/>
  <c r="O157" i="4" s="1"/>
  <c r="Q413" i="6"/>
  <c r="T413" i="6" s="1"/>
  <c r="O413" i="6"/>
  <c r="Q173" i="6"/>
  <c r="T173" i="6" s="1"/>
  <c r="R599" i="6"/>
  <c r="U599" i="6" s="1"/>
  <c r="L173" i="5"/>
  <c r="O173" i="5" s="1"/>
  <c r="M356" i="6"/>
  <c r="P356" i="6" s="1"/>
  <c r="S94" i="6"/>
  <c r="U94" i="6" s="1"/>
  <c r="M375" i="6"/>
  <c r="P375" i="6" s="1"/>
  <c r="M320" i="5"/>
  <c r="P320" i="5" s="1"/>
  <c r="L555" i="6"/>
  <c r="O555" i="6" s="1"/>
  <c r="P333" i="6"/>
  <c r="T619" i="1"/>
  <c r="T120" i="1"/>
  <c r="Q576" i="1"/>
  <c r="T576" i="1" s="1"/>
  <c r="U618" i="1"/>
  <c r="P519" i="1"/>
  <c r="R392" i="2"/>
  <c r="U392" i="2" s="1"/>
  <c r="U377" i="2"/>
  <c r="Q599" i="3"/>
  <c r="T599" i="3" s="1"/>
  <c r="U618" i="3"/>
  <c r="S72" i="1"/>
  <c r="R599" i="3"/>
  <c r="U599" i="3" s="1"/>
  <c r="T690" i="4"/>
  <c r="M493" i="4"/>
  <c r="P493" i="4" s="1"/>
  <c r="O333" i="4"/>
  <c r="O601" i="5"/>
  <c r="L282" i="5"/>
  <c r="O282" i="5" s="1"/>
  <c r="T619" i="5"/>
  <c r="O557" i="5"/>
  <c r="R599" i="5"/>
  <c r="U599" i="5" s="1"/>
  <c r="O536" i="6"/>
  <c r="L534" i="6"/>
  <c r="O534" i="6" s="1"/>
  <c r="U644" i="6"/>
  <c r="R642" i="6"/>
  <c r="U642" i="6" s="1"/>
  <c r="L576" i="6"/>
  <c r="O576" i="6" s="1"/>
  <c r="P602" i="6"/>
  <c r="M534" i="6"/>
  <c r="P534" i="6" s="1"/>
  <c r="L493" i="6"/>
  <c r="O493" i="6" s="1"/>
  <c r="L20" i="6"/>
  <c r="O23" i="6"/>
  <c r="M72" i="6"/>
  <c r="P72" i="6" s="1"/>
  <c r="L186" i="6"/>
  <c r="O186" i="6" s="1"/>
  <c r="O188" i="6"/>
  <c r="P97" i="6"/>
  <c r="O269" i="6"/>
  <c r="U74" i="6"/>
  <c r="R72" i="6"/>
  <c r="U72" i="6" s="1"/>
  <c r="U619" i="6"/>
  <c r="T188" i="6"/>
  <c r="Q186" i="6"/>
  <c r="T186" i="6" s="1"/>
  <c r="O61" i="6"/>
  <c r="L59" i="6"/>
  <c r="O59" i="6" s="1"/>
  <c r="R139" i="6"/>
  <c r="U139" i="6" s="1"/>
  <c r="R413" i="6"/>
  <c r="U413" i="6" s="1"/>
  <c r="Q72" i="6"/>
  <c r="T72" i="6" s="1"/>
  <c r="P601" i="6"/>
  <c r="M117" i="6"/>
  <c r="P117" i="6" s="1"/>
  <c r="O336" i="6"/>
  <c r="L44" i="6"/>
  <c r="S282" i="1"/>
  <c r="N72" i="1"/>
  <c r="T762" i="2"/>
  <c r="O415" i="2"/>
  <c r="T141" i="3"/>
  <c r="T378" i="4"/>
  <c r="M282" i="4"/>
  <c r="P282" i="4" s="1"/>
  <c r="T375" i="4"/>
  <c r="P142" i="4"/>
  <c r="K689" i="4"/>
  <c r="O578" i="5"/>
  <c r="M493" i="5"/>
  <c r="P493" i="5" s="1"/>
  <c r="O62" i="5"/>
  <c r="P415" i="5"/>
  <c r="Q760" i="6"/>
  <c r="T760" i="6" s="1"/>
  <c r="T762" i="6"/>
  <c r="Q599" i="6"/>
  <c r="T599" i="6" s="1"/>
  <c r="M173" i="6"/>
  <c r="P173" i="6" s="1"/>
  <c r="L513" i="6"/>
  <c r="O513" i="6" s="1"/>
  <c r="L320" i="6"/>
  <c r="O320" i="6" s="1"/>
  <c r="R493" i="6"/>
  <c r="U493" i="6" s="1"/>
  <c r="U377" i="6"/>
  <c r="R375" i="6"/>
  <c r="U375" i="6" s="1"/>
  <c r="P335" i="6"/>
  <c r="I231" i="6"/>
  <c r="K242" i="6"/>
  <c r="M24" i="6"/>
  <c r="P24" i="6" s="1"/>
  <c r="P26" i="6"/>
  <c r="O358" i="6"/>
  <c r="L356" i="6"/>
  <c r="O356" i="6" s="1"/>
  <c r="Q20" i="6"/>
  <c r="T26" i="6"/>
  <c r="L157" i="6"/>
  <c r="O157" i="6" s="1"/>
  <c r="R117" i="6"/>
  <c r="U117" i="6" s="1"/>
  <c r="U692" i="6"/>
  <c r="R690" i="6"/>
  <c r="U690" i="6" s="1"/>
  <c r="O377" i="6"/>
  <c r="L375" i="6"/>
  <c r="O375" i="6" s="1"/>
  <c r="S20" i="6"/>
  <c r="S18" i="6" s="1"/>
  <c r="S21" i="6"/>
  <c r="T21" i="6" s="1"/>
  <c r="T23" i="6"/>
  <c r="M303" i="6"/>
  <c r="P303" i="6" s="1"/>
  <c r="P305" i="6"/>
  <c r="M59" i="6"/>
  <c r="P59" i="6" s="1"/>
  <c r="T96" i="6"/>
  <c r="Q642" i="3"/>
  <c r="T642" i="3" s="1"/>
  <c r="T763" i="4"/>
  <c r="K701" i="4"/>
  <c r="P189" i="4"/>
  <c r="P23" i="5"/>
  <c r="O186" i="5"/>
  <c r="N599" i="6"/>
  <c r="O599" i="6" s="1"/>
  <c r="O243" i="6"/>
  <c r="L232" i="6"/>
  <c r="M20" i="6"/>
  <c r="M21" i="6"/>
  <c r="P21" i="6" s="1"/>
  <c r="P23" i="6"/>
  <c r="L333" i="6"/>
  <c r="O333" i="6" s="1"/>
  <c r="O335" i="6"/>
  <c r="L266" i="6"/>
  <c r="O266" i="6" s="1"/>
  <c r="R20" i="6"/>
  <c r="U23" i="6"/>
  <c r="L24" i="6"/>
  <c r="O24" i="6" s="1"/>
  <c r="Q356" i="1"/>
  <c r="T356" i="1" s="1"/>
  <c r="O306" i="1"/>
  <c r="P188" i="3"/>
  <c r="L117" i="3"/>
  <c r="O117" i="3" s="1"/>
  <c r="Q493" i="4"/>
  <c r="T493" i="4" s="1"/>
  <c r="U139" i="4"/>
  <c r="O356" i="5"/>
  <c r="O268" i="5"/>
  <c r="M157" i="5"/>
  <c r="P157" i="5" s="1"/>
  <c r="T731" i="4"/>
  <c r="T24" i="4"/>
  <c r="M94" i="5"/>
  <c r="P94" i="5" s="1"/>
  <c r="P186" i="1"/>
  <c r="T269" i="2"/>
  <c r="P493" i="2"/>
  <c r="L232" i="4"/>
  <c r="U141" i="4"/>
  <c r="O358" i="5"/>
  <c r="U119" i="4"/>
  <c r="N20" i="5"/>
  <c r="N18" i="5" s="1"/>
  <c r="O415" i="5"/>
  <c r="L413" i="5"/>
  <c r="O413" i="5" s="1"/>
  <c r="K701" i="1"/>
  <c r="S576" i="1"/>
  <c r="U269" i="2"/>
  <c r="L303" i="1"/>
  <c r="O495" i="2"/>
  <c r="P356" i="3"/>
  <c r="P578" i="3"/>
  <c r="T377" i="3"/>
  <c r="R117" i="4"/>
  <c r="U117" i="4" s="1"/>
  <c r="L513" i="4"/>
  <c r="O513" i="4" s="1"/>
  <c r="O176" i="4"/>
  <c r="U763" i="4"/>
  <c r="Q760" i="5"/>
  <c r="T760" i="5" s="1"/>
  <c r="L534" i="5"/>
  <c r="O534" i="5" s="1"/>
  <c r="T139" i="5"/>
  <c r="M21" i="5"/>
  <c r="P21" i="5" s="1"/>
  <c r="T119" i="5"/>
  <c r="M117" i="4"/>
  <c r="P117" i="4" s="1"/>
  <c r="T416" i="5"/>
  <c r="P601" i="5"/>
  <c r="M599" i="5"/>
  <c r="P599" i="5" s="1"/>
  <c r="O377" i="4"/>
  <c r="L375" i="4"/>
  <c r="O375" i="4" s="1"/>
  <c r="P305" i="5"/>
  <c r="M303" i="5"/>
  <c r="P303" i="5" s="1"/>
  <c r="U762" i="4"/>
  <c r="M413" i="5"/>
  <c r="P413" i="5" s="1"/>
  <c r="M576" i="1"/>
  <c r="P576" i="1" s="1"/>
  <c r="Q555" i="1"/>
  <c r="T555" i="1" s="1"/>
  <c r="P61" i="2"/>
  <c r="P61" i="3"/>
  <c r="Q20" i="3"/>
  <c r="Q18" i="3" s="1"/>
  <c r="O576" i="5"/>
  <c r="P59" i="5"/>
  <c r="M356" i="5"/>
  <c r="P356" i="5" s="1"/>
  <c r="S513" i="1"/>
  <c r="U644" i="2"/>
  <c r="U305" i="1"/>
  <c r="O59" i="3"/>
  <c r="O335" i="3"/>
  <c r="O74" i="3"/>
  <c r="N356" i="4"/>
  <c r="P356" i="4" s="1"/>
  <c r="U188" i="3"/>
  <c r="R72" i="4"/>
  <c r="U72" i="4" s="1"/>
  <c r="U142" i="4"/>
  <c r="P576" i="5"/>
  <c r="M20" i="5"/>
  <c r="M186" i="5"/>
  <c r="P186" i="5" s="1"/>
  <c r="T23" i="5"/>
  <c r="Q21" i="5"/>
  <c r="S117" i="5"/>
  <c r="T117" i="5" s="1"/>
  <c r="P46" i="5"/>
  <c r="Q94" i="5"/>
  <c r="T94" i="5" s="1"/>
  <c r="L616" i="1"/>
  <c r="O616" i="1" s="1"/>
  <c r="M555" i="1"/>
  <c r="P555" i="1" s="1"/>
  <c r="L186" i="1"/>
  <c r="O186" i="1" s="1"/>
  <c r="Q728" i="4"/>
  <c r="T728" i="4" s="1"/>
  <c r="L72" i="4"/>
  <c r="O72" i="4" s="1"/>
  <c r="L20" i="4"/>
  <c r="L18" i="4" s="1"/>
  <c r="P141" i="5"/>
  <c r="O46" i="5"/>
  <c r="U26" i="5"/>
  <c r="R24" i="5"/>
  <c r="U24" i="5" s="1"/>
  <c r="T377" i="5"/>
  <c r="Q375" i="5"/>
  <c r="P268" i="1"/>
  <c r="M282" i="2"/>
  <c r="P282" i="2" s="1"/>
  <c r="U268" i="2"/>
  <c r="M282" i="3"/>
  <c r="P282" i="3" s="1"/>
  <c r="P23" i="3"/>
  <c r="T305" i="3"/>
  <c r="P74" i="3"/>
  <c r="M555" i="4"/>
  <c r="P555" i="4" s="1"/>
  <c r="M157" i="4"/>
  <c r="P157" i="4" s="1"/>
  <c r="U394" i="5"/>
  <c r="R392" i="5"/>
  <c r="U392" i="5" s="1"/>
  <c r="R303" i="5"/>
  <c r="U303" i="5" s="1"/>
  <c r="L117" i="5"/>
  <c r="O117" i="5" s="1"/>
  <c r="P19" i="5"/>
  <c r="R20" i="5"/>
  <c r="U23" i="5"/>
  <c r="R21" i="5"/>
  <c r="O141" i="5"/>
  <c r="O322" i="5"/>
  <c r="L320" i="5"/>
  <c r="O320" i="5" s="1"/>
  <c r="U119" i="5"/>
  <c r="R117" i="5"/>
  <c r="L59" i="5"/>
  <c r="O59" i="5" s="1"/>
  <c r="O61" i="5"/>
  <c r="U141" i="5"/>
  <c r="P61" i="5"/>
  <c r="S173" i="5"/>
  <c r="T173" i="5" s="1"/>
  <c r="T175" i="1"/>
  <c r="S21" i="1"/>
  <c r="P188" i="1"/>
  <c r="O188" i="4"/>
  <c r="Q690" i="5"/>
  <c r="T690" i="5" s="1"/>
  <c r="R616" i="5"/>
  <c r="U616" i="5" s="1"/>
  <c r="L303" i="5"/>
  <c r="O303" i="5" s="1"/>
  <c r="I231" i="5"/>
  <c r="K242" i="5"/>
  <c r="Q616" i="5"/>
  <c r="T616" i="5" s="1"/>
  <c r="T618" i="5"/>
  <c r="L333" i="5"/>
  <c r="O333" i="5" s="1"/>
  <c r="M282" i="5"/>
  <c r="P282" i="5" s="1"/>
  <c r="P284" i="5"/>
  <c r="N139" i="5"/>
  <c r="P139" i="5" s="1"/>
  <c r="U189" i="5"/>
  <c r="M44" i="5"/>
  <c r="O243" i="5"/>
  <c r="L232" i="5"/>
  <c r="L20" i="5"/>
  <c r="O23" i="5"/>
  <c r="L21" i="5"/>
  <c r="O21" i="5" s="1"/>
  <c r="L94" i="5"/>
  <c r="O94" i="5" s="1"/>
  <c r="S21" i="5"/>
  <c r="S20" i="5"/>
  <c r="U175" i="5"/>
  <c r="T141" i="5"/>
  <c r="U269" i="4"/>
  <c r="M513" i="5"/>
  <c r="P513" i="5" s="1"/>
  <c r="P515" i="5"/>
  <c r="T266" i="5"/>
  <c r="P377" i="5"/>
  <c r="M375" i="5"/>
  <c r="P375" i="5" s="1"/>
  <c r="T96" i="4"/>
  <c r="Q94" i="4"/>
  <c r="T94" i="4" s="1"/>
  <c r="M173" i="5"/>
  <c r="P173" i="5" s="1"/>
  <c r="R493" i="1"/>
  <c r="Q320" i="1"/>
  <c r="T320" i="1" s="1"/>
  <c r="O519" i="1"/>
  <c r="Q616" i="4"/>
  <c r="T616" i="4" s="1"/>
  <c r="O335" i="4"/>
  <c r="U731" i="4"/>
  <c r="P579" i="5"/>
  <c r="Q642" i="5"/>
  <c r="T642" i="5" s="1"/>
  <c r="N266" i="5"/>
  <c r="Q186" i="5"/>
  <c r="T186" i="5" s="1"/>
  <c r="I71" i="5"/>
  <c r="K71" i="5" s="1"/>
  <c r="K83" i="5"/>
  <c r="O44" i="5"/>
  <c r="M555" i="5"/>
  <c r="P555" i="5" s="1"/>
  <c r="P557" i="5"/>
  <c r="M24" i="5"/>
  <c r="P24" i="5" s="1"/>
  <c r="P26" i="5"/>
  <c r="S413" i="5"/>
  <c r="R186" i="5"/>
  <c r="U186" i="5" s="1"/>
  <c r="U188" i="5"/>
  <c r="L24" i="5"/>
  <c r="O24" i="5" s="1"/>
  <c r="U141" i="3"/>
  <c r="O47" i="3"/>
  <c r="P139" i="3"/>
  <c r="U616" i="3"/>
  <c r="O496" i="3"/>
  <c r="L303" i="4"/>
  <c r="O303" i="4" s="1"/>
  <c r="O305" i="4"/>
  <c r="M94" i="4"/>
  <c r="P94" i="4" s="1"/>
  <c r="O26" i="2"/>
  <c r="U415" i="2"/>
  <c r="P186" i="3"/>
  <c r="S413" i="3"/>
  <c r="U413" i="3" s="1"/>
  <c r="O26" i="4"/>
  <c r="M320" i="4"/>
  <c r="P320" i="4" s="1"/>
  <c r="L186" i="4"/>
  <c r="O186" i="4" s="1"/>
  <c r="P188" i="4"/>
  <c r="O269" i="4"/>
  <c r="Q173" i="4"/>
  <c r="T173" i="4" s="1"/>
  <c r="T175" i="4"/>
  <c r="T117" i="4"/>
  <c r="R413" i="2"/>
  <c r="L139" i="2"/>
  <c r="O139" i="2" s="1"/>
  <c r="U23" i="2"/>
  <c r="O305" i="1"/>
  <c r="L513" i="3"/>
  <c r="O513" i="3" s="1"/>
  <c r="U415" i="4"/>
  <c r="P415" i="4"/>
  <c r="O62" i="4"/>
  <c r="Q72" i="4"/>
  <c r="T72" i="4" s="1"/>
  <c r="U188" i="4"/>
  <c r="Q21" i="1"/>
  <c r="Q157" i="3"/>
  <c r="T157" i="3" s="1"/>
  <c r="K374" i="3"/>
  <c r="T188" i="4"/>
  <c r="R186" i="4"/>
  <c r="U186" i="4" s="1"/>
  <c r="T644" i="4"/>
  <c r="Q642" i="4"/>
  <c r="T642" i="4" s="1"/>
  <c r="M72" i="1"/>
  <c r="U693" i="1"/>
  <c r="P269" i="1"/>
  <c r="R157" i="3"/>
  <c r="U157" i="3" s="1"/>
  <c r="O61" i="3"/>
  <c r="R173" i="4"/>
  <c r="U173" i="4" s="1"/>
  <c r="T730" i="3"/>
  <c r="N20" i="4"/>
  <c r="N18" i="4" s="1"/>
  <c r="O139" i="4"/>
  <c r="P323" i="3"/>
  <c r="P72" i="3"/>
  <c r="P74" i="4"/>
  <c r="M72" i="4"/>
  <c r="P72" i="4" s="1"/>
  <c r="U692" i="1"/>
  <c r="S320" i="1"/>
  <c r="T644" i="1"/>
  <c r="P47" i="2"/>
  <c r="P496" i="2"/>
  <c r="M555" i="3"/>
  <c r="P555" i="3" s="1"/>
  <c r="T188" i="3"/>
  <c r="P495" i="2"/>
  <c r="T619" i="4"/>
  <c r="M375" i="4"/>
  <c r="P375" i="4" s="1"/>
  <c r="P175" i="4"/>
  <c r="N173" i="4"/>
  <c r="P173" i="4" s="1"/>
  <c r="T266" i="4"/>
  <c r="P119" i="1"/>
  <c r="R642" i="1"/>
  <c r="U642" i="1" s="1"/>
  <c r="N493" i="1"/>
  <c r="N599" i="1"/>
  <c r="P62" i="1"/>
  <c r="P120" i="1"/>
  <c r="P23" i="1"/>
  <c r="U189" i="1"/>
  <c r="M266" i="1"/>
  <c r="P266" i="1" s="1"/>
  <c r="T619" i="2"/>
  <c r="M157" i="2"/>
  <c r="P157" i="2" s="1"/>
  <c r="O61" i="2"/>
  <c r="M72" i="2"/>
  <c r="P72" i="2" s="1"/>
  <c r="K374" i="2"/>
  <c r="T618" i="3"/>
  <c r="O269" i="3"/>
  <c r="P46" i="3"/>
  <c r="O305" i="3"/>
  <c r="O62" i="3"/>
  <c r="K689" i="3"/>
  <c r="R642" i="4"/>
  <c r="U642" i="4" s="1"/>
  <c r="U644" i="4"/>
  <c r="O557" i="4"/>
  <c r="L555" i="4"/>
  <c r="O555" i="4" s="1"/>
  <c r="I71" i="4"/>
  <c r="K71" i="4" s="1"/>
  <c r="K83" i="4"/>
  <c r="P335" i="4"/>
  <c r="M333" i="4"/>
  <c r="P333" i="4" s="1"/>
  <c r="O413" i="4"/>
  <c r="P359" i="4"/>
  <c r="O359" i="4"/>
  <c r="T415" i="4"/>
  <c r="Q413" i="4"/>
  <c r="T413" i="4" s="1"/>
  <c r="O415" i="4"/>
  <c r="P416" i="4"/>
  <c r="S303" i="4"/>
  <c r="U303" i="4" s="1"/>
  <c r="P415" i="1"/>
  <c r="L19" i="1"/>
  <c r="O19" i="1" s="1"/>
  <c r="S139" i="1"/>
  <c r="P175" i="2"/>
  <c r="M139" i="2"/>
  <c r="P139" i="2" s="1"/>
  <c r="Q20" i="2"/>
  <c r="Q18" i="2" s="1"/>
  <c r="O26" i="3"/>
  <c r="U496" i="3"/>
  <c r="R375" i="4"/>
  <c r="U375" i="4" s="1"/>
  <c r="U377" i="4"/>
  <c r="M59" i="4"/>
  <c r="P59" i="4" s="1"/>
  <c r="P61" i="4"/>
  <c r="T377" i="4"/>
  <c r="M534" i="4"/>
  <c r="P534" i="4" s="1"/>
  <c r="P23" i="4"/>
  <c r="T139" i="4"/>
  <c r="U619" i="3"/>
  <c r="M44" i="4"/>
  <c r="P46" i="4"/>
  <c r="L356" i="4"/>
  <c r="O358" i="4"/>
  <c r="T145" i="4"/>
  <c r="R20" i="4"/>
  <c r="R21" i="4"/>
  <c r="U21" i="4" s="1"/>
  <c r="U23" i="4"/>
  <c r="M282" i="1"/>
  <c r="R375" i="1"/>
  <c r="N117" i="1"/>
  <c r="P305" i="1"/>
  <c r="P358" i="3"/>
  <c r="L282" i="3"/>
  <c r="O282" i="3" s="1"/>
  <c r="R728" i="4"/>
  <c r="U728" i="4" s="1"/>
  <c r="U730" i="4"/>
  <c r="M513" i="4"/>
  <c r="P513" i="4" s="1"/>
  <c r="L320" i="4"/>
  <c r="O320" i="4" s="1"/>
  <c r="L282" i="4"/>
  <c r="O282" i="4" s="1"/>
  <c r="O284" i="4"/>
  <c r="T142" i="4"/>
  <c r="O44" i="4"/>
  <c r="L576" i="4"/>
  <c r="O576" i="4" s="1"/>
  <c r="T306" i="4"/>
  <c r="R24" i="4"/>
  <c r="U24" i="4" s="1"/>
  <c r="U26" i="4"/>
  <c r="M139" i="4"/>
  <c r="P139" i="4" s="1"/>
  <c r="P141" i="4"/>
  <c r="O47" i="4"/>
  <c r="Q760" i="4"/>
  <c r="T760" i="4" s="1"/>
  <c r="T762" i="4"/>
  <c r="T305" i="4"/>
  <c r="Q303" i="4"/>
  <c r="K423" i="4"/>
  <c r="I412" i="4"/>
  <c r="K412" i="4" s="1"/>
  <c r="P268" i="4"/>
  <c r="N266" i="4"/>
  <c r="P266" i="4" s="1"/>
  <c r="O23" i="4"/>
  <c r="O268" i="4"/>
  <c r="S157" i="1"/>
  <c r="U21" i="2"/>
  <c r="R690" i="4"/>
  <c r="U690" i="4" s="1"/>
  <c r="U692" i="4"/>
  <c r="P578" i="4"/>
  <c r="M576" i="4"/>
  <c r="P576" i="4" s="1"/>
  <c r="K242" i="4"/>
  <c r="I231" i="4"/>
  <c r="P21" i="4"/>
  <c r="O536" i="4"/>
  <c r="L534" i="4"/>
  <c r="O534" i="4" s="1"/>
  <c r="M303" i="4"/>
  <c r="P303" i="4" s="1"/>
  <c r="Q20" i="4"/>
  <c r="T23" i="4"/>
  <c r="Q21" i="4"/>
  <c r="T21" i="4" s="1"/>
  <c r="P26" i="4"/>
  <c r="M20" i="4"/>
  <c r="K82" i="4"/>
  <c r="I70" i="4"/>
  <c r="K70" i="4" s="1"/>
  <c r="O21" i="4"/>
  <c r="S303" i="1"/>
  <c r="Q59" i="1"/>
  <c r="T59" i="1" s="1"/>
  <c r="Q21" i="2"/>
  <c r="T21" i="2" s="1"/>
  <c r="Q303" i="2"/>
  <c r="T303" i="2" s="1"/>
  <c r="T23" i="2"/>
  <c r="R139" i="3"/>
  <c r="S303" i="3"/>
  <c r="T303" i="3" s="1"/>
  <c r="M24" i="1"/>
  <c r="U117" i="2"/>
  <c r="I70" i="2"/>
  <c r="K70" i="2" s="1"/>
  <c r="P378" i="3"/>
  <c r="P141" i="3"/>
  <c r="U175" i="1"/>
  <c r="Q44" i="1"/>
  <c r="T44" i="1" s="1"/>
  <c r="L555" i="1"/>
  <c r="O555" i="1" s="1"/>
  <c r="N139" i="1"/>
  <c r="P557" i="2"/>
  <c r="T618" i="2"/>
  <c r="T268" i="2"/>
  <c r="L72" i="2"/>
  <c r="O72" i="2" s="1"/>
  <c r="U693" i="2"/>
  <c r="M534" i="3"/>
  <c r="P534" i="3" s="1"/>
  <c r="O157" i="3"/>
  <c r="T94" i="3"/>
  <c r="Q642" i="2"/>
  <c r="T642" i="2" s="1"/>
  <c r="N413" i="2"/>
  <c r="O413" i="2" s="1"/>
  <c r="T266" i="2"/>
  <c r="O141" i="3"/>
  <c r="O339" i="1"/>
  <c r="L157" i="2"/>
  <c r="O157" i="2" s="1"/>
  <c r="M117" i="2"/>
  <c r="P117" i="2" s="1"/>
  <c r="S493" i="1"/>
  <c r="O175" i="2"/>
  <c r="Q616" i="3"/>
  <c r="T616" i="3" s="1"/>
  <c r="O322" i="3"/>
  <c r="S139" i="3"/>
  <c r="T139" i="3" s="1"/>
  <c r="U120" i="3"/>
  <c r="L320" i="3"/>
  <c r="O320" i="3" s="1"/>
  <c r="O189" i="3"/>
  <c r="P157" i="3"/>
  <c r="N576" i="3"/>
  <c r="P576" i="3" s="1"/>
  <c r="U96" i="3"/>
  <c r="R94" i="3"/>
  <c r="U94" i="3" s="1"/>
  <c r="T96" i="3"/>
  <c r="Q333" i="1"/>
  <c r="T333" i="1" s="1"/>
  <c r="L21" i="1"/>
  <c r="O268" i="1"/>
  <c r="Q186" i="1"/>
  <c r="U616" i="2"/>
  <c r="M303" i="2"/>
  <c r="P303" i="2" s="1"/>
  <c r="N20" i="2"/>
  <c r="N18" i="2" s="1"/>
  <c r="P189" i="2"/>
  <c r="U618" i="2"/>
  <c r="T175" i="2"/>
  <c r="L333" i="3"/>
  <c r="O333" i="3" s="1"/>
  <c r="M303" i="3"/>
  <c r="P303" i="3" s="1"/>
  <c r="O46" i="3"/>
  <c r="M94" i="3"/>
  <c r="P94" i="3" s="1"/>
  <c r="P96" i="3"/>
  <c r="U760" i="3"/>
  <c r="U762" i="3"/>
  <c r="O159" i="3"/>
  <c r="P415" i="3"/>
  <c r="M413" i="3"/>
  <c r="P413" i="3" s="1"/>
  <c r="Q72" i="3"/>
  <c r="T74" i="3"/>
  <c r="T119" i="2"/>
  <c r="R20" i="2"/>
  <c r="R18" i="2" s="1"/>
  <c r="S72" i="3"/>
  <c r="U72" i="3" s="1"/>
  <c r="O96" i="3"/>
  <c r="L94" i="3"/>
  <c r="O94" i="3" s="1"/>
  <c r="L173" i="3"/>
  <c r="O173" i="3" s="1"/>
  <c r="P601" i="3"/>
  <c r="M599" i="3"/>
  <c r="P599" i="3" s="1"/>
  <c r="U305" i="3"/>
  <c r="P159" i="3"/>
  <c r="R173" i="3"/>
  <c r="U173" i="3" s="1"/>
  <c r="O188" i="3"/>
  <c r="N94" i="1"/>
  <c r="K71" i="1"/>
  <c r="M20" i="1"/>
  <c r="Q392" i="2"/>
  <c r="T392" i="2" s="1"/>
  <c r="U644" i="3"/>
  <c r="R642" i="3"/>
  <c r="U642" i="3" s="1"/>
  <c r="T692" i="3"/>
  <c r="R728" i="3"/>
  <c r="U728" i="3" s="1"/>
  <c r="N375" i="3"/>
  <c r="O375" i="3" s="1"/>
  <c r="O377" i="3"/>
  <c r="R392" i="3"/>
  <c r="U392" i="3" s="1"/>
  <c r="U394" i="3"/>
  <c r="N20" i="3"/>
  <c r="N18" i="3" s="1"/>
  <c r="N21" i="3"/>
  <c r="P21" i="3" s="1"/>
  <c r="P377" i="3"/>
  <c r="M375" i="3"/>
  <c r="O578" i="3"/>
  <c r="L576" i="3"/>
  <c r="K423" i="3"/>
  <c r="I412" i="3"/>
  <c r="K412" i="3" s="1"/>
  <c r="T690" i="3"/>
  <c r="L356" i="3"/>
  <c r="O356" i="3" s="1"/>
  <c r="O358" i="3"/>
  <c r="M44" i="3"/>
  <c r="L413" i="3"/>
  <c r="O413" i="3" s="1"/>
  <c r="O415" i="3"/>
  <c r="M320" i="3"/>
  <c r="P320" i="3" s="1"/>
  <c r="P322" i="3"/>
  <c r="I231" i="3"/>
  <c r="K242" i="3"/>
  <c r="P119" i="3"/>
  <c r="M117" i="3"/>
  <c r="P117" i="3" s="1"/>
  <c r="O44" i="3"/>
  <c r="T415" i="3"/>
  <c r="Q413" i="3"/>
  <c r="I70" i="3"/>
  <c r="K70" i="3" s="1"/>
  <c r="K82" i="3"/>
  <c r="S20" i="3"/>
  <c r="S18" i="3" s="1"/>
  <c r="S21" i="3"/>
  <c r="T21" i="3" s="1"/>
  <c r="O23" i="3"/>
  <c r="L20" i="3"/>
  <c r="O159" i="1"/>
  <c r="O119" i="1"/>
  <c r="R94" i="2"/>
  <c r="U94" i="2" s="1"/>
  <c r="L534" i="3"/>
  <c r="O534" i="3" s="1"/>
  <c r="O536" i="3"/>
  <c r="O243" i="3"/>
  <c r="L232" i="3"/>
  <c r="P495" i="3"/>
  <c r="N493" i="3"/>
  <c r="P493" i="3" s="1"/>
  <c r="M513" i="3"/>
  <c r="P513" i="3" s="1"/>
  <c r="P268" i="3"/>
  <c r="M266" i="3"/>
  <c r="P175" i="3"/>
  <c r="M173" i="3"/>
  <c r="P173" i="3" s="1"/>
  <c r="K83" i="3"/>
  <c r="I71" i="3"/>
  <c r="K71" i="3" s="1"/>
  <c r="S117" i="3"/>
  <c r="U117" i="3" s="1"/>
  <c r="U119" i="3"/>
  <c r="O496" i="1"/>
  <c r="O142" i="1"/>
  <c r="R266" i="2"/>
  <c r="U266" i="2" s="1"/>
  <c r="T762" i="3"/>
  <c r="Q760" i="3"/>
  <c r="T760" i="3" s="1"/>
  <c r="O557" i="3"/>
  <c r="L555" i="3"/>
  <c r="O555" i="3" s="1"/>
  <c r="M333" i="3"/>
  <c r="P333" i="3" s="1"/>
  <c r="O186" i="3"/>
  <c r="L72" i="3"/>
  <c r="O72" i="3" s="1"/>
  <c r="T119" i="3"/>
  <c r="R24" i="3"/>
  <c r="U24" i="3" s="1"/>
  <c r="U692" i="3"/>
  <c r="R690" i="3"/>
  <c r="U690" i="3" s="1"/>
  <c r="T693" i="3"/>
  <c r="Q173" i="3"/>
  <c r="T173" i="3" s="1"/>
  <c r="U23" i="3"/>
  <c r="R20" i="3"/>
  <c r="T23" i="3"/>
  <c r="R21" i="3"/>
  <c r="M59" i="3"/>
  <c r="P59" i="3" s="1"/>
  <c r="P26" i="3"/>
  <c r="M20" i="3"/>
  <c r="M24" i="3"/>
  <c r="P24" i="3" s="1"/>
  <c r="L24" i="3"/>
  <c r="O24" i="3" s="1"/>
  <c r="N266" i="3"/>
  <c r="O268" i="3"/>
  <c r="P558" i="1"/>
  <c r="R282" i="1"/>
  <c r="U282" i="1" s="1"/>
  <c r="M157" i="1"/>
  <c r="L493" i="2"/>
  <c r="O493" i="2" s="1"/>
  <c r="U119" i="2"/>
  <c r="R714" i="1"/>
  <c r="U714" i="1" s="1"/>
  <c r="T692" i="1"/>
  <c r="R173" i="1"/>
  <c r="P65" i="1"/>
  <c r="L266" i="1"/>
  <c r="O266" i="1" s="1"/>
  <c r="U729" i="1"/>
  <c r="R24" i="2"/>
  <c r="U24" i="2" s="1"/>
  <c r="Q266" i="1"/>
  <c r="Q117" i="1"/>
  <c r="T117" i="1" s="1"/>
  <c r="Q282" i="1"/>
  <c r="T282" i="1" s="1"/>
  <c r="Q19" i="1"/>
  <c r="T19" i="1" s="1"/>
  <c r="U97" i="1"/>
  <c r="P188" i="2"/>
  <c r="K632" i="1"/>
  <c r="T174" i="1"/>
  <c r="K83" i="1"/>
  <c r="P416" i="2"/>
  <c r="P578" i="2"/>
  <c r="P186" i="2"/>
  <c r="M599" i="2"/>
  <c r="P599" i="2" s="1"/>
  <c r="P601" i="2"/>
  <c r="P576" i="2"/>
  <c r="P377" i="2"/>
  <c r="N375" i="2"/>
  <c r="P375" i="2" s="1"/>
  <c r="U175" i="2"/>
  <c r="R173" i="2"/>
  <c r="U173" i="2" s="1"/>
  <c r="U159" i="2"/>
  <c r="R157" i="2"/>
  <c r="U157" i="2" s="1"/>
  <c r="T26" i="1"/>
  <c r="T22" i="1"/>
  <c r="T496" i="1"/>
  <c r="U762" i="2"/>
  <c r="P173" i="2"/>
  <c r="L117" i="2"/>
  <c r="O117" i="2" s="1"/>
  <c r="S413" i="2"/>
  <c r="T415" i="2"/>
  <c r="L24" i="2"/>
  <c r="O24" i="2" s="1"/>
  <c r="P46" i="2"/>
  <c r="T731" i="2"/>
  <c r="T97" i="1"/>
  <c r="U26" i="1"/>
  <c r="U760" i="2"/>
  <c r="O519" i="2"/>
  <c r="N21" i="2"/>
  <c r="O601" i="2"/>
  <c r="L599" i="2"/>
  <c r="O599" i="2" s="1"/>
  <c r="U601" i="2"/>
  <c r="R599" i="2"/>
  <c r="U599" i="2" s="1"/>
  <c r="O46" i="2"/>
  <c r="Q714" i="1"/>
  <c r="T714" i="1" s="1"/>
  <c r="Q690" i="1"/>
  <c r="O378" i="1"/>
  <c r="Q94" i="1"/>
  <c r="Q72" i="1"/>
  <c r="P358" i="2"/>
  <c r="O323" i="2"/>
  <c r="L59" i="2"/>
  <c r="O59" i="2" s="1"/>
  <c r="K689" i="2"/>
  <c r="P268" i="2"/>
  <c r="N266" i="2"/>
  <c r="P266" i="2" s="1"/>
  <c r="O377" i="2"/>
  <c r="K423" i="2"/>
  <c r="I412" i="2"/>
  <c r="K412" i="2" s="1"/>
  <c r="P285" i="1"/>
  <c r="P323" i="1"/>
  <c r="P377" i="1"/>
  <c r="M356" i="2"/>
  <c r="P356" i="2" s="1"/>
  <c r="O333" i="2"/>
  <c r="U763" i="2"/>
  <c r="L232" i="2"/>
  <c r="O243" i="2"/>
  <c r="U188" i="2"/>
  <c r="R186" i="2"/>
  <c r="U186" i="2" s="1"/>
  <c r="O173" i="2"/>
  <c r="P96" i="2"/>
  <c r="M94" i="2"/>
  <c r="P94" i="2" s="1"/>
  <c r="S20" i="2"/>
  <c r="S18" i="2" s="1"/>
  <c r="S24" i="2"/>
  <c r="R72" i="1"/>
  <c r="U644" i="1"/>
  <c r="R728" i="2"/>
  <c r="U728" i="2" s="1"/>
  <c r="U730" i="2"/>
  <c r="O322" i="2"/>
  <c r="L320" i="2"/>
  <c r="O320" i="2" s="1"/>
  <c r="Q493" i="2"/>
  <c r="T493" i="2" s="1"/>
  <c r="T495" i="2"/>
  <c r="L356" i="2"/>
  <c r="O356" i="2" s="1"/>
  <c r="O358" i="2"/>
  <c r="P515" i="2"/>
  <c r="M513" i="2"/>
  <c r="P513" i="2" s="1"/>
  <c r="O578" i="2"/>
  <c r="P26" i="2"/>
  <c r="M24" i="2"/>
  <c r="P24" i="2" s="1"/>
  <c r="M59" i="2"/>
  <c r="P59" i="2" s="1"/>
  <c r="P44" i="2"/>
  <c r="P322" i="2"/>
  <c r="M320" i="2"/>
  <c r="P320" i="2" s="1"/>
  <c r="K242" i="2"/>
  <c r="I231" i="2"/>
  <c r="O576" i="2"/>
  <c r="N760" i="1"/>
  <c r="L534" i="2"/>
  <c r="O534" i="2" s="1"/>
  <c r="O536" i="2"/>
  <c r="O515" i="2"/>
  <c r="L513" i="2"/>
  <c r="O513" i="2" s="1"/>
  <c r="P519" i="2"/>
  <c r="Q117" i="2"/>
  <c r="T117" i="2" s="1"/>
  <c r="P415" i="2"/>
  <c r="T496" i="2"/>
  <c r="O23" i="2"/>
  <c r="L20" i="2"/>
  <c r="P23" i="2"/>
  <c r="M20" i="2"/>
  <c r="M21" i="2"/>
  <c r="L21" i="2"/>
  <c r="P75" i="1"/>
  <c r="L576" i="1"/>
  <c r="O576" i="1" s="1"/>
  <c r="L186" i="2"/>
  <c r="O186" i="2" s="1"/>
  <c r="O188" i="2"/>
  <c r="T188" i="2"/>
  <c r="Q186" i="2"/>
  <c r="T186" i="2" s="1"/>
  <c r="R139" i="2"/>
  <c r="U139" i="2" s="1"/>
  <c r="Q94" i="2"/>
  <c r="T94" i="2" s="1"/>
  <c r="Q599" i="2"/>
  <c r="T599" i="2" s="1"/>
  <c r="T601" i="2"/>
  <c r="O377" i="1"/>
  <c r="O285" i="1"/>
  <c r="P142" i="1"/>
  <c r="M534" i="1"/>
  <c r="P534" i="1" s="1"/>
  <c r="L555" i="2"/>
  <c r="O555" i="2" s="1"/>
  <c r="O557" i="2"/>
  <c r="P335" i="2"/>
  <c r="M333" i="2"/>
  <c r="P333" i="2" s="1"/>
  <c r="M555" i="2"/>
  <c r="P555" i="2" s="1"/>
  <c r="O44" i="2"/>
  <c r="I71" i="2"/>
  <c r="K71" i="2" s="1"/>
  <c r="K83" i="2"/>
  <c r="L303" i="2"/>
  <c r="O303" i="2" s="1"/>
  <c r="O305" i="2"/>
  <c r="O335" i="2"/>
  <c r="P176" i="2"/>
  <c r="O176" i="2"/>
  <c r="K626" i="1"/>
  <c r="L728" i="1"/>
  <c r="O728" i="1" s="1"/>
  <c r="U496" i="1"/>
  <c r="U142" i="1"/>
  <c r="R44" i="1"/>
  <c r="U44" i="1" s="1"/>
  <c r="Q616" i="1"/>
  <c r="Q139" i="1"/>
  <c r="P306" i="1"/>
  <c r="P96" i="1"/>
  <c r="P97" i="1"/>
  <c r="R266" i="1"/>
  <c r="S20" i="1"/>
  <c r="L760" i="1"/>
  <c r="O760" i="1" s="1"/>
  <c r="T176" i="1"/>
  <c r="Q392" i="1"/>
  <c r="T392" i="1" s="1"/>
  <c r="T393" i="1"/>
  <c r="R392" i="1"/>
  <c r="U392" i="1" s="1"/>
  <c r="M173" i="1"/>
  <c r="P173" i="1" s="1"/>
  <c r="R320" i="1"/>
  <c r="U320" i="1" s="1"/>
  <c r="L714" i="1"/>
  <c r="O714" i="1" s="1"/>
  <c r="O715" i="1"/>
  <c r="U514" i="1"/>
  <c r="R513" i="1"/>
  <c r="U513" i="1" s="1"/>
  <c r="P140" i="1"/>
  <c r="M139" i="1"/>
  <c r="P358" i="1"/>
  <c r="M356" i="1"/>
  <c r="P356" i="1" s="1"/>
  <c r="T731" i="1"/>
  <c r="O44" i="1"/>
  <c r="O65" i="1"/>
  <c r="O514" i="1"/>
  <c r="L513" i="1"/>
  <c r="O513" i="1" s="1"/>
  <c r="S19" i="1"/>
  <c r="U617" i="1"/>
  <c r="R616" i="1"/>
  <c r="N157" i="1"/>
  <c r="K432" i="1"/>
  <c r="O175" i="1"/>
  <c r="L173" i="1"/>
  <c r="O173" i="1" s="1"/>
  <c r="S24" i="1"/>
  <c r="U577" i="1"/>
  <c r="R576" i="1"/>
  <c r="U576" i="1" s="1"/>
  <c r="T761" i="1"/>
  <c r="Q760" i="1"/>
  <c r="T760" i="1" s="1"/>
  <c r="O75" i="1"/>
  <c r="K615" i="1"/>
  <c r="P74" i="1"/>
  <c r="O26" i="1"/>
  <c r="L690" i="1"/>
  <c r="O690" i="1" s="1"/>
  <c r="M690" i="1"/>
  <c r="P690" i="1" s="1"/>
  <c r="P730" i="1"/>
  <c r="M728" i="1"/>
  <c r="P728" i="1" s="1"/>
  <c r="U761" i="1"/>
  <c r="R760" i="1"/>
  <c r="U760" i="1" s="1"/>
  <c r="T763" i="1"/>
  <c r="L94" i="1"/>
  <c r="O95" i="1"/>
  <c r="L139" i="1"/>
  <c r="O140" i="1"/>
  <c r="M94" i="1"/>
  <c r="K412" i="1"/>
  <c r="U556" i="1"/>
  <c r="R555" i="1"/>
  <c r="U555" i="1" s="1"/>
  <c r="P304" i="1"/>
  <c r="M303" i="1"/>
  <c r="K423" i="1"/>
  <c r="U730" i="1"/>
  <c r="S728" i="1"/>
  <c r="U728" i="1" s="1"/>
  <c r="P715" i="1"/>
  <c r="M714" i="1"/>
  <c r="P714" i="1" s="1"/>
  <c r="K82" i="1"/>
  <c r="I70" i="1"/>
  <c r="K70" i="1" s="1"/>
  <c r="M117" i="1"/>
  <c r="R94" i="1"/>
  <c r="U94" i="1" s="1"/>
  <c r="U95" i="1"/>
  <c r="P494" i="1"/>
  <c r="M493" i="1"/>
  <c r="O393" i="1"/>
  <c r="L392" i="1"/>
  <c r="O392" i="1" s="1"/>
  <c r="R186" i="1"/>
  <c r="U186" i="1" s="1"/>
  <c r="M599" i="1"/>
  <c r="P601" i="1"/>
  <c r="P321" i="1"/>
  <c r="M320" i="1"/>
  <c r="P320" i="1" s="1"/>
  <c r="U358" i="1"/>
  <c r="R356" i="1"/>
  <c r="U356" i="1" s="1"/>
  <c r="P644" i="1"/>
  <c r="M642" i="1"/>
  <c r="P642" i="1" s="1"/>
  <c r="P617" i="1"/>
  <c r="M616" i="1"/>
  <c r="P616" i="1" s="1"/>
  <c r="R534" i="1"/>
  <c r="U534" i="1" s="1"/>
  <c r="U535" i="1"/>
  <c r="M375" i="1"/>
  <c r="S413" i="1"/>
  <c r="L534" i="1"/>
  <c r="O534" i="1" s="1"/>
  <c r="O535" i="1"/>
  <c r="P761" i="1"/>
  <c r="M760" i="1"/>
  <c r="P760" i="1" s="1"/>
  <c r="O283" i="1"/>
  <c r="L282" i="1"/>
  <c r="N21" i="1"/>
  <c r="N19" i="1"/>
  <c r="Q24" i="1"/>
  <c r="Q642" i="1"/>
  <c r="T642" i="1" s="1"/>
  <c r="T643" i="1"/>
  <c r="P602" i="1"/>
  <c r="O602" i="1"/>
  <c r="S375" i="1"/>
  <c r="O336" i="1"/>
  <c r="O375" i="1"/>
  <c r="O73" i="1"/>
  <c r="L72" i="1"/>
  <c r="O334" i="1"/>
  <c r="L333" i="1"/>
  <c r="O333" i="1" s="1"/>
  <c r="P26" i="1"/>
  <c r="L157" i="1"/>
  <c r="O46" i="1"/>
  <c r="U159" i="1"/>
  <c r="R157" i="1"/>
  <c r="U157" i="1" s="1"/>
  <c r="L642" i="1"/>
  <c r="O642" i="1" s="1"/>
  <c r="O643" i="1"/>
  <c r="P393" i="1"/>
  <c r="M392" i="1"/>
  <c r="P392" i="1" s="1"/>
  <c r="P22" i="1"/>
  <c r="M19" i="1"/>
  <c r="M21" i="1"/>
  <c r="L24" i="1"/>
  <c r="O25" i="1"/>
  <c r="U600" i="1"/>
  <c r="R599" i="1"/>
  <c r="U599" i="1" s="1"/>
  <c r="M333" i="1"/>
  <c r="P333" i="1" s="1"/>
  <c r="P334" i="1"/>
  <c r="L20" i="1"/>
  <c r="O23" i="1"/>
  <c r="R20" i="1"/>
  <c r="U23" i="1"/>
  <c r="O600" i="1"/>
  <c r="L599" i="1"/>
  <c r="L413" i="1"/>
  <c r="O413" i="1" s="1"/>
  <c r="O415" i="1"/>
  <c r="U377" i="1"/>
  <c r="R413" i="1"/>
  <c r="U415" i="1"/>
  <c r="P496" i="1"/>
  <c r="O62" i="1"/>
  <c r="Q534" i="1"/>
  <c r="T534" i="1" s="1"/>
  <c r="T536" i="1"/>
  <c r="N282" i="1"/>
  <c r="P284" i="1"/>
  <c r="O284" i="1"/>
  <c r="R21" i="1"/>
  <c r="U22" i="1"/>
  <c r="R19" i="1"/>
  <c r="O321" i="1"/>
  <c r="L320" i="1"/>
  <c r="O320" i="1" s="1"/>
  <c r="Q157" i="1"/>
  <c r="T157" i="1" s="1"/>
  <c r="T159" i="1"/>
  <c r="P176" i="1"/>
  <c r="O176" i="1"/>
  <c r="O118" i="1"/>
  <c r="L117" i="1"/>
  <c r="M513" i="1"/>
  <c r="P513" i="1" s="1"/>
  <c r="P515" i="1"/>
  <c r="P336" i="1"/>
  <c r="Q513" i="1"/>
  <c r="T513" i="1" s="1"/>
  <c r="T514" i="1"/>
  <c r="R333" i="1"/>
  <c r="U333" i="1" s="1"/>
  <c r="M413" i="1"/>
  <c r="P413" i="1" s="1"/>
  <c r="O323" i="1"/>
  <c r="Q599" i="1"/>
  <c r="T599" i="1" s="1"/>
  <c r="O358" i="1"/>
  <c r="L356" i="1"/>
  <c r="O356" i="1" s="1"/>
  <c r="R24" i="1"/>
  <c r="U25" i="1"/>
  <c r="P46" i="1"/>
  <c r="M44" i="1"/>
  <c r="P44" i="1" s="1"/>
  <c r="T23" i="1"/>
  <c r="Q20" i="1"/>
  <c r="N20" i="1"/>
  <c r="T690" i="1" l="1"/>
  <c r="U266" i="1"/>
  <c r="O493" i="1"/>
  <c r="T186" i="1"/>
  <c r="T413" i="1"/>
  <c r="T616" i="1"/>
  <c r="U139" i="1"/>
  <c r="P303" i="1"/>
  <c r="U616" i="1"/>
  <c r="O72" i="1"/>
  <c r="P375" i="1"/>
  <c r="P24" i="1"/>
  <c r="T266" i="1"/>
  <c r="T20" i="15"/>
  <c r="T94" i="1"/>
  <c r="O20" i="10"/>
  <c r="U173" i="1"/>
  <c r="K231" i="14"/>
  <c r="T173" i="1"/>
  <c r="K457" i="1"/>
  <c r="P59" i="7"/>
  <c r="T303" i="1"/>
  <c r="S18" i="15"/>
  <c r="T18" i="15" s="1"/>
  <c r="T375" i="3"/>
  <c r="P599" i="13"/>
  <c r="U20" i="15"/>
  <c r="U21" i="14"/>
  <c r="P72" i="15"/>
  <c r="O24" i="1"/>
  <c r="O21" i="14"/>
  <c r="T20" i="14"/>
  <c r="T18" i="14"/>
  <c r="U186" i="15"/>
  <c r="T94" i="15"/>
  <c r="I185" i="12"/>
  <c r="K185" i="12" s="1"/>
  <c r="U186" i="13"/>
  <c r="T616" i="14"/>
  <c r="P303" i="15"/>
  <c r="O303" i="15"/>
  <c r="N18" i="15"/>
  <c r="O18" i="15" s="1"/>
  <c r="P20" i="15"/>
  <c r="O20" i="15"/>
  <c r="M40" i="15"/>
  <c r="P21" i="15"/>
  <c r="O21" i="15"/>
  <c r="T375" i="15"/>
  <c r="U375" i="15"/>
  <c r="K231" i="15"/>
  <c r="I185" i="15"/>
  <c r="K185" i="15" s="1"/>
  <c r="O44" i="15"/>
  <c r="L40" i="15"/>
  <c r="U139" i="15"/>
  <c r="N40" i="15"/>
  <c r="T20" i="13"/>
  <c r="K231" i="13"/>
  <c r="U94" i="13"/>
  <c r="U139" i="13"/>
  <c r="P94" i="13"/>
  <c r="M40" i="14"/>
  <c r="P40" i="14" s="1"/>
  <c r="O44" i="14"/>
  <c r="L40" i="14"/>
  <c r="O40" i="14" s="1"/>
  <c r="P20" i="14"/>
  <c r="M18" i="14"/>
  <c r="P18" i="14" s="1"/>
  <c r="U20" i="13"/>
  <c r="O20" i="14"/>
  <c r="L18" i="14"/>
  <c r="O18" i="14" s="1"/>
  <c r="U20" i="14"/>
  <c r="R18" i="14"/>
  <c r="U18" i="14" s="1"/>
  <c r="N40" i="8"/>
  <c r="R18" i="13"/>
  <c r="U18" i="13" s="1"/>
  <c r="U266" i="3"/>
  <c r="O576" i="9"/>
  <c r="U266" i="13"/>
  <c r="L40" i="13"/>
  <c r="T18" i="12"/>
  <c r="P20" i="13"/>
  <c r="O139" i="13"/>
  <c r="N40" i="13"/>
  <c r="O44" i="13"/>
  <c r="M18" i="13"/>
  <c r="P18" i="13" s="1"/>
  <c r="O493" i="13"/>
  <c r="P493" i="13"/>
  <c r="T21" i="13"/>
  <c r="U21" i="13"/>
  <c r="P44" i="13"/>
  <c r="M40" i="13"/>
  <c r="T18" i="13"/>
  <c r="L18" i="13"/>
  <c r="O18" i="13" s="1"/>
  <c r="O20" i="13"/>
  <c r="T20" i="12"/>
  <c r="U266" i="11"/>
  <c r="U21" i="12"/>
  <c r="U20" i="12"/>
  <c r="R18" i="12"/>
  <c r="U18" i="12" s="1"/>
  <c r="P599" i="12"/>
  <c r="U173" i="7"/>
  <c r="P24" i="10"/>
  <c r="O20" i="12"/>
  <c r="L18" i="12"/>
  <c r="O18" i="12" s="1"/>
  <c r="P173" i="12"/>
  <c r="P20" i="12"/>
  <c r="M18" i="12"/>
  <c r="P18" i="12" s="1"/>
  <c r="O44" i="12"/>
  <c r="L40" i="12"/>
  <c r="O40" i="12" s="1"/>
  <c r="U139" i="9"/>
  <c r="O413" i="11"/>
  <c r="P44" i="12"/>
  <c r="M40" i="12"/>
  <c r="P40" i="12" s="1"/>
  <c r="O173" i="12"/>
  <c r="U266" i="12"/>
  <c r="T266" i="12"/>
  <c r="O21" i="12"/>
  <c r="T117" i="10"/>
  <c r="U18" i="11"/>
  <c r="L40" i="11"/>
  <c r="O40" i="11" s="1"/>
  <c r="U72" i="9"/>
  <c r="U20" i="11"/>
  <c r="T20" i="11"/>
  <c r="Q18" i="11"/>
  <c r="T18" i="11" s="1"/>
  <c r="P20" i="11"/>
  <c r="M18" i="11"/>
  <c r="P18" i="11" s="1"/>
  <c r="O266" i="11"/>
  <c r="U20" i="10"/>
  <c r="O266" i="8"/>
  <c r="I185" i="11"/>
  <c r="K185" i="11" s="1"/>
  <c r="K231" i="11"/>
  <c r="L18" i="11"/>
  <c r="O18" i="11" s="1"/>
  <c r="O20" i="11"/>
  <c r="T21" i="11"/>
  <c r="M40" i="11"/>
  <c r="P40" i="11" s="1"/>
  <c r="P266" i="11"/>
  <c r="T20" i="10"/>
  <c r="T21" i="10"/>
  <c r="U24" i="9"/>
  <c r="T375" i="1"/>
  <c r="K231" i="10"/>
  <c r="I185" i="10"/>
  <c r="K185" i="10" s="1"/>
  <c r="P20" i="10"/>
  <c r="M18" i="10"/>
  <c r="P18" i="10" s="1"/>
  <c r="Q18" i="10"/>
  <c r="T18" i="10" s="1"/>
  <c r="O44" i="10"/>
  <c r="L40" i="10"/>
  <c r="O40" i="10" s="1"/>
  <c r="L18" i="10"/>
  <c r="O18" i="10" s="1"/>
  <c r="R18" i="10"/>
  <c r="U18" i="10" s="1"/>
  <c r="P44" i="10"/>
  <c r="M40" i="10"/>
  <c r="P40" i="10" s="1"/>
  <c r="O20" i="9"/>
  <c r="O18" i="9"/>
  <c r="L40" i="9"/>
  <c r="O40" i="9" s="1"/>
  <c r="P20" i="9"/>
  <c r="U117" i="8"/>
  <c r="U303" i="8"/>
  <c r="P18" i="9"/>
  <c r="P21" i="8"/>
  <c r="T375" i="5"/>
  <c r="U20" i="9"/>
  <c r="R18" i="9"/>
  <c r="U18" i="9" s="1"/>
  <c r="O20" i="8"/>
  <c r="M40" i="9"/>
  <c r="P40" i="9" s="1"/>
  <c r="T266" i="8"/>
  <c r="O21" i="9"/>
  <c r="P21" i="9"/>
  <c r="T20" i="9"/>
  <c r="Q18" i="9"/>
  <c r="T18" i="9" s="1"/>
  <c r="K231" i="9"/>
  <c r="I185" i="9"/>
  <c r="K185" i="9" s="1"/>
  <c r="O599" i="1"/>
  <c r="P20" i="7"/>
  <c r="P20" i="8"/>
  <c r="O18" i="8"/>
  <c r="T18" i="3"/>
  <c r="T20" i="8"/>
  <c r="Q18" i="8"/>
  <c r="T18" i="8" s="1"/>
  <c r="K231" i="8"/>
  <c r="I185" i="8"/>
  <c r="K185" i="8" s="1"/>
  <c r="O44" i="8"/>
  <c r="L40" i="8"/>
  <c r="O40" i="8" s="1"/>
  <c r="T186" i="8"/>
  <c r="P375" i="8"/>
  <c r="M40" i="8"/>
  <c r="P44" i="8"/>
  <c r="U20" i="8"/>
  <c r="R18" i="8"/>
  <c r="U18" i="8" s="1"/>
  <c r="M18" i="8"/>
  <c r="P18" i="8" s="1"/>
  <c r="N40" i="6"/>
  <c r="T760" i="7"/>
  <c r="U413" i="2"/>
  <c r="P72" i="1"/>
  <c r="T21" i="5"/>
  <c r="M18" i="7"/>
  <c r="P18" i="7" s="1"/>
  <c r="T72" i="1"/>
  <c r="O303" i="1"/>
  <c r="T21" i="7"/>
  <c r="O20" i="7"/>
  <c r="L18" i="7"/>
  <c r="O18" i="7" s="1"/>
  <c r="O44" i="7"/>
  <c r="L40" i="7"/>
  <c r="M40" i="7"/>
  <c r="P44" i="7"/>
  <c r="P173" i="7"/>
  <c r="N40" i="7"/>
  <c r="U20" i="7"/>
  <c r="R18" i="7"/>
  <c r="U18" i="7" s="1"/>
  <c r="T20" i="7"/>
  <c r="Q18" i="7"/>
  <c r="T18" i="7" s="1"/>
  <c r="U21" i="6"/>
  <c r="U117" i="5"/>
  <c r="P20" i="5"/>
  <c r="T94" i="6"/>
  <c r="T20" i="6"/>
  <c r="Q18" i="6"/>
  <c r="T18" i="6" s="1"/>
  <c r="T18" i="2"/>
  <c r="M40" i="6"/>
  <c r="U72" i="1"/>
  <c r="U20" i="6"/>
  <c r="R18" i="6"/>
  <c r="U18" i="6" s="1"/>
  <c r="M18" i="6"/>
  <c r="P18" i="6" s="1"/>
  <c r="P20" i="6"/>
  <c r="P599" i="6"/>
  <c r="K231" i="6"/>
  <c r="I185" i="6"/>
  <c r="K185" i="6" s="1"/>
  <c r="O44" i="6"/>
  <c r="L40" i="6"/>
  <c r="O20" i="6"/>
  <c r="L18" i="6"/>
  <c r="O18" i="6" s="1"/>
  <c r="O117" i="1"/>
  <c r="T413" i="3"/>
  <c r="U493" i="1"/>
  <c r="O356" i="4"/>
  <c r="T21" i="1"/>
  <c r="P117" i="1"/>
  <c r="U21" i="1"/>
  <c r="L40" i="5"/>
  <c r="P282" i="1"/>
  <c r="O21" i="1"/>
  <c r="N40" i="4"/>
  <c r="M18" i="5"/>
  <c r="P18" i="5" s="1"/>
  <c r="U20" i="5"/>
  <c r="R18" i="5"/>
  <c r="O139" i="5"/>
  <c r="P44" i="5"/>
  <c r="M40" i="5"/>
  <c r="U413" i="5"/>
  <c r="T413" i="5"/>
  <c r="N40" i="5"/>
  <c r="O20" i="5"/>
  <c r="L18" i="5"/>
  <c r="O18" i="5" s="1"/>
  <c r="K231" i="5"/>
  <c r="I185" i="5"/>
  <c r="K185" i="5" s="1"/>
  <c r="U21" i="5"/>
  <c r="U173" i="5"/>
  <c r="P266" i="5"/>
  <c r="O266" i="5"/>
  <c r="T20" i="5"/>
  <c r="S18" i="5"/>
  <c r="T18" i="5" s="1"/>
  <c r="T493" i="1"/>
  <c r="T24" i="1"/>
  <c r="P413" i="2"/>
  <c r="T20" i="1"/>
  <c r="T303" i="4"/>
  <c r="O18" i="4"/>
  <c r="O173" i="4"/>
  <c r="O266" i="4"/>
  <c r="L40" i="4"/>
  <c r="O20" i="4"/>
  <c r="P599" i="1"/>
  <c r="T139" i="1"/>
  <c r="P20" i="4"/>
  <c r="M18" i="4"/>
  <c r="P18" i="4" s="1"/>
  <c r="M40" i="4"/>
  <c r="P44" i="4"/>
  <c r="R18" i="4"/>
  <c r="U18" i="4" s="1"/>
  <c r="U20" i="4"/>
  <c r="S18" i="1"/>
  <c r="I185" i="4"/>
  <c r="K185" i="4" s="1"/>
  <c r="K231" i="4"/>
  <c r="T20" i="4"/>
  <c r="Q18" i="4"/>
  <c r="T18" i="4" s="1"/>
  <c r="P493" i="1"/>
  <c r="P139" i="1"/>
  <c r="U303" i="1"/>
  <c r="U303" i="3"/>
  <c r="O139" i="1"/>
  <c r="O576" i="3"/>
  <c r="T117" i="3"/>
  <c r="L40" i="3"/>
  <c r="O493" i="3"/>
  <c r="O94" i="1"/>
  <c r="N40" i="2"/>
  <c r="U139" i="3"/>
  <c r="U21" i="3"/>
  <c r="P266" i="3"/>
  <c r="T72" i="3"/>
  <c r="P20" i="1"/>
  <c r="P20" i="3"/>
  <c r="M18" i="3"/>
  <c r="P18" i="3" s="1"/>
  <c r="P375" i="3"/>
  <c r="O266" i="3"/>
  <c r="N40" i="3"/>
  <c r="T20" i="3"/>
  <c r="K231" i="3"/>
  <c r="I185" i="3"/>
  <c r="K185" i="3" s="1"/>
  <c r="U375" i="1"/>
  <c r="O20" i="3"/>
  <c r="L18" i="3"/>
  <c r="O18" i="3" s="1"/>
  <c r="P94" i="1"/>
  <c r="U20" i="3"/>
  <c r="R18" i="3"/>
  <c r="U18" i="3" s="1"/>
  <c r="P44" i="3"/>
  <c r="M40" i="3"/>
  <c r="O21" i="3"/>
  <c r="P157" i="1"/>
  <c r="M40" i="2"/>
  <c r="U20" i="2"/>
  <c r="T20" i="2"/>
  <c r="T413" i="2"/>
  <c r="O282" i="1"/>
  <c r="O375" i="2"/>
  <c r="O21" i="2"/>
  <c r="L40" i="2"/>
  <c r="P21" i="2"/>
  <c r="O266" i="2"/>
  <c r="O20" i="2"/>
  <c r="L18" i="2"/>
  <c r="O18" i="2" s="1"/>
  <c r="K231" i="2"/>
  <c r="I185" i="2"/>
  <c r="K185" i="2" s="1"/>
  <c r="U20" i="1"/>
  <c r="U18" i="2"/>
  <c r="P20" i="2"/>
  <c r="M18" i="2"/>
  <c r="P18" i="2" s="1"/>
  <c r="U24" i="1"/>
  <c r="T728" i="1"/>
  <c r="O157" i="1"/>
  <c r="P21" i="1"/>
  <c r="Q18" i="1"/>
  <c r="R18" i="1"/>
  <c r="U19" i="1"/>
  <c r="O20" i="1"/>
  <c r="N18" i="1"/>
  <c r="L18" i="1"/>
  <c r="U413" i="1"/>
  <c r="P19" i="1"/>
  <c r="M18" i="1"/>
  <c r="U18" i="15" l="1"/>
  <c r="P40" i="8"/>
  <c r="P18" i="15"/>
  <c r="O40" i="15"/>
  <c r="P40" i="15"/>
  <c r="O40" i="13"/>
  <c r="P40" i="13"/>
  <c r="O40" i="6"/>
  <c r="P40" i="6"/>
  <c r="O40" i="7"/>
  <c r="P40" i="7"/>
  <c r="O40" i="2"/>
  <c r="P40" i="4"/>
  <c r="O40" i="4"/>
  <c r="O40" i="5"/>
  <c r="U18" i="5"/>
  <c r="O40" i="3"/>
  <c r="P40" i="5"/>
  <c r="U18" i="1"/>
  <c r="T18" i="1"/>
  <c r="O18" i="1"/>
  <c r="P40" i="3"/>
  <c r="P40" i="2"/>
  <c r="P18" i="1"/>
</calcChain>
</file>

<file path=xl/sharedStrings.xml><?xml version="1.0" encoding="utf-8"?>
<sst xmlns="http://schemas.openxmlformats.org/spreadsheetml/2006/main" count="19773" uniqueCount="338">
  <si>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</si>
  <si>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</si>
  <si>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</si>
  <si>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</si>
  <si>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</si>
  <si>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</si>
  <si>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</si>
  <si>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</si>
  <si>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</si>
  <si>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</si>
  <si>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</si>
  <si>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</si>
  <si>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</si>
  <si>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</si>
  <si>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</si>
  <si>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</si>
  <si>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</si>
  <si>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</si>
  <si>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</si>
  <si>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</si>
  <si>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</si>
  <si>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</si>
  <si>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</si>
  <si>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</si>
  <si>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</si>
  <si>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</si>
  <si>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</si>
  <si>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</si>
  <si>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</si>
  <si>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</si>
  <si>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</si>
  <si>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</si>
  <si>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</si>
  <si>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</si>
  <si>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</si>
  <si>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</si>
  <si>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</si>
  <si>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</si>
  <si>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</si>
  <si>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</si>
  <si>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</si>
  <si>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</si>
  <si>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</si>
  <si>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</si>
  <si>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</si>
  <si>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</si>
  <si>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</si>
  <si>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</si>
  <si>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</si>
  <si>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</si>
  <si>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</si>
  <si>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</si>
  <si>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</si>
  <si>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</si>
  <si>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</si>
  <si>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</si>
  <si>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</si>
  <si>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</si>
  <si>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</si>
  <si>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</si>
  <si>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</si>
  <si>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</si>
  <si>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</si>
  <si>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</si>
  <si>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</si>
  <si>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</si>
  <si>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</si>
  <si>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</si>
  <si>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</si>
  <si>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</si>
  <si>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</si>
  <si>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</si>
  <si>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</si>
  <si>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</si>
  <si>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</si>
  <si>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</si>
  <si>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</si>
  <si>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</si>
  <si>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</si>
  <si>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</si>
  <si>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</si>
  <si>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</si>
  <si>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</si>
  <si>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</si>
  <si>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</si>
  <si>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</si>
  <si>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</si>
  <si>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</si>
  <si>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</si>
  <si>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</si>
  <si>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</si>
  <si>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</si>
  <si>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</si>
  <si>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</si>
  <si>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</si>
  <si>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</si>
  <si>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</si>
  <si>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</si>
  <si>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</si>
  <si>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</si>
  <si>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</si>
  <si>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</si>
  <si>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</si>
  <si>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</si>
  <si>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</si>
  <si>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</si>
  <si>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</si>
  <si>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</si>
  <si>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</si>
  <si>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</si>
  <si>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</si>
  <si>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</si>
  <si>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</si>
  <si>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</si>
  <si>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</si>
  <si>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</si>
  <si>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</si>
  <si>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</si>
  <si>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</si>
  <si>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</si>
  <si>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</si>
  <si>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</si>
  <si>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</si>
  <si>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</si>
  <si>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</si>
  <si>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b/>
        <sz val="15"/>
        <color theme="1"/>
        <rFont val="Arial"/>
      </rPr>
      <t>หลักสูตร</t>
    </r>
    <r>
      <rPr>
        <sz val="15"/>
        <color theme="1"/>
        <rFont val="Arial"/>
      </rPr>
      <t xml:space="preserve"> การบริหารจัดการเศษวัสดุเหลือใช้ฯ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</si>
  <si>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</si>
  <si>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</si>
  <si>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</si>
  <si>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</si>
  <si>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</si>
  <si>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</si>
  <si>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</si>
  <si>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</si>
  <si>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</si>
  <si>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</si>
  <si>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</si>
  <si>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</si>
  <si>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</si>
  <si>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</si>
  <si>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</si>
  <si>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</si>
  <si>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</si>
  <si>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</si>
  <si>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</si>
  <si>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</si>
  <si>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</si>
  <si>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</si>
  <si>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</si>
  <si>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</si>
  <si>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</si>
  <si>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</si>
  <si>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</si>
  <si>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</si>
  <si>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</si>
  <si>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</si>
  <si>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</si>
  <si>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</si>
  <si>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</si>
  <si>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</si>
  <si>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</si>
  <si>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</si>
  <si>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</si>
  <si>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</si>
  <si>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</si>
  <si>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</si>
  <si>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</si>
  <si>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</si>
  <si>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</si>
  <si>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</si>
  <si>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</si>
  <si>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</si>
  <si>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</si>
  <si>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</si>
  <si>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</si>
  <si>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</si>
  <si>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</si>
  <si>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</si>
  <si>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</si>
  <si>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</si>
  <si>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</si>
  <si>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</si>
  <si>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</si>
  <si>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</si>
  <si>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</si>
  <si>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</si>
  <si>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</si>
  <si>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</si>
  <si>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</si>
  <si>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</si>
  <si>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</si>
  <si>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</si>
  <si>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</si>
  <si>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</si>
  <si>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</si>
  <si>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</si>
  <si>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</si>
  <si>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</si>
  <si>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</si>
  <si>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</si>
  <si>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</si>
  <si>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</si>
  <si>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</si>
  <si>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</si>
  <si>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</si>
  <si>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</si>
  <si>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</si>
  <si>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</si>
  <si>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</si>
  <si>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</si>
  <si>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</si>
  <si>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</si>
  <si>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</si>
  <si>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</si>
  <si>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</si>
  <si>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</si>
  <si>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 xml:space="preserve"> 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</si>
  <si>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</si>
  <si>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</si>
  <si>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</si>
  <si>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</si>
  <si>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</si>
  <si>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</si>
  <si>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</si>
  <si>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</si>
  <si>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</si>
  <si>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</si>
  <si>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</si>
  <si>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</si>
  <si>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</si>
  <si>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</si>
  <si>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</si>
  <si>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</si>
  <si>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</si>
  <si>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</si>
  <si>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</si>
  <si>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</si>
  <si>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</si>
  <si>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</si>
  <si>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</si>
  <si>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</si>
  <si>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</si>
  <si>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</si>
  <si>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</si>
  <si>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</si>
  <si>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</si>
  <si>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</si>
  <si>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</si>
  <si>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</si>
  <si>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</si>
  <si>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</si>
  <si>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</si>
  <si>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</si>
  <si>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</si>
  <si>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</si>
  <si>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</si>
  <si>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</si>
  <si>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</si>
  <si>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</si>
  <si>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</si>
  <si>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</si>
  <si>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</si>
  <si>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</si>
  <si>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</si>
  <si>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</si>
  <si>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</si>
  <si>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</si>
  <si>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</si>
  <si>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</si>
  <si>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</si>
  <si>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</si>
  <si>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</si>
  <si>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</si>
  <si>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</si>
  <si>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</si>
  <si>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</si>
  <si>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</si>
  <si>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</si>
  <si>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</si>
  <si>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</si>
  <si>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</si>
  <si>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</si>
  <si>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</si>
  <si>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</si>
  <si>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</si>
  <si>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</si>
  <si>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</si>
  <si>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</si>
  <si>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</si>
  <si>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</si>
  <si>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</si>
  <si>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</si>
  <si>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</si>
  <si>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</si>
  <si>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</si>
  <si>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</si>
  <si>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</si>
  <si>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</si>
  <si>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</si>
  <si>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</si>
  <si>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</si>
  <si>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</si>
  <si>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</si>
  <si>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</si>
  <si>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กระบี่</t>
  </si>
  <si>
    <t>- งบบริหารโครงการ</t>
  </si>
  <si>
    <t>- ค่าจ้างเหมาบริการ</t>
  </si>
  <si>
    <t>- ค่าใช้จ่ายในการบริหารงาน</t>
  </si>
  <si>
    <t>- ค่าจ้างเหมารถยนต์ขนส่งกล้า และค่าจ้างเหมาแรงงาน</t>
  </si>
  <si>
    <t>แผนงานยุทธศาสตร์พัฒนาและส่งเสริมเศรษฐกิจฐานราก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</si>
  <si>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</si>
  <si>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</si>
  <si>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</si>
  <si>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</si>
  <si>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</si>
  <si>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</si>
  <si>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</si>
  <si>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</si>
  <si>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</si>
  <si>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</si>
  <si>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</si>
  <si>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</si>
  <si>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</si>
  <si>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</si>
  <si>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</si>
  <si>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</si>
  <si>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</si>
  <si>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</si>
  <si>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</si>
  <si>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</si>
  <si>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</si>
  <si>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</si>
  <si>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</si>
  <si>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</si>
  <si>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</si>
  <si>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</si>
  <si>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สำนักงานการปฏิรูปที่ดินจังหวัด สุราษฎร์ธานี</t>
  </si>
  <si>
    <t>ข้อมูล ณ วันที่ 15 กันยายน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</si>
</sst>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1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theme="1"/>
      <name val="Arial"/>
      <scheme val="minor"/>
    </font>
    <font>
      <sz val="10"/>
      <color rgb="FFFF0000"/>
      <name val="Arial"/>
    </font>
    <font>
      <u/>
      <sz val="15"/>
      <color rgb="FF000000"/>
      <name val="Arial"/>
    </font>
    <font>
      <u/>
      <sz val="15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3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>
      <alignment horizontal="right"/>
    </xf>
    <xf numFmtId="188" fontId="2" fillId="2" borderId="1" xfId="0" applyNumberFormat="1" applyFont="1" applyFill="1" applyBorder="1" applyAlignment="1"/>
    <xf numFmtId="189" fontId="2" fillId="2" borderId="2" xfId="0" applyNumberFormat="1" applyFont="1" applyFill="1" applyBorder="1" applyAlignment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 applyAlignment="1"/>
    <xf numFmtId="189" fontId="5" fillId="6" borderId="2" xfId="0" applyNumberFormat="1" applyFont="1" applyFill="1" applyBorder="1" applyAlignment="1">
      <alignment horizontal="center"/>
    </xf>
    <xf numFmtId="188" fontId="5" fillId="6" borderId="2" xfId="0" applyNumberFormat="1" applyFont="1" applyFill="1" applyBorder="1" applyAlignment="1">
      <alignment horizontal="center" wrapText="1"/>
    </xf>
    <xf numFmtId="189" fontId="5" fillId="7" borderId="2" xfId="0" applyNumberFormat="1" applyFont="1" applyFill="1" applyBorder="1" applyAlignment="1">
      <alignment horizontal="center" wrapText="1"/>
    </xf>
    <xf numFmtId="189" fontId="5" fillId="9" borderId="2" xfId="0" applyNumberFormat="1" applyFont="1" applyFill="1" applyBorder="1" applyAlignment="1">
      <alignment horizontal="center" wrapText="1"/>
    </xf>
    <xf numFmtId="189" fontId="5" fillId="8" borderId="2" xfId="0" applyNumberFormat="1" applyFont="1" applyFill="1" applyBorder="1" applyAlignment="1">
      <alignment horizontal="center"/>
    </xf>
    <xf numFmtId="189" fontId="5" fillId="7" borderId="2" xfId="0" applyNumberFormat="1" applyFont="1" applyFill="1" applyBorder="1" applyAlignment="1">
      <alignment horizontal="center"/>
    </xf>
    <xf numFmtId="189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 applyAlignment="1"/>
    <xf numFmtId="0" fontId="2" fillId="10" borderId="2" xfId="0" applyFont="1" applyFill="1" applyBorder="1" applyAlignment="1"/>
    <xf numFmtId="187" fontId="2" fillId="10" borderId="2" xfId="0" applyNumberFormat="1" applyFont="1" applyFill="1" applyBorder="1" applyAlignment="1"/>
    <xf numFmtId="189" fontId="2" fillId="10" borderId="2" xfId="0" applyNumberFormat="1" applyFont="1" applyFill="1" applyBorder="1" applyAlignment="1"/>
    <xf numFmtId="0" fontId="2" fillId="10" borderId="8" xfId="0" applyFont="1" applyFill="1" applyBorder="1" applyAlignment="1"/>
    <xf numFmtId="0" fontId="2" fillId="10" borderId="9" xfId="0" applyFont="1" applyFill="1" applyBorder="1" applyAlignment="1"/>
    <xf numFmtId="0" fontId="2" fillId="10" borderId="10" xfId="0" applyFont="1" applyFill="1" applyBorder="1" applyAlignment="1"/>
    <xf numFmtId="187" fontId="2" fillId="10" borderId="10" xfId="0" applyNumberFormat="1" applyFont="1" applyFill="1" applyBorder="1" applyAlignment="1"/>
    <xf numFmtId="189" fontId="2" fillId="10" borderId="10" xfId="0" applyNumberFormat="1" applyFont="1" applyFill="1" applyBorder="1" applyAlignment="1"/>
    <xf numFmtId="0" fontId="2" fillId="10" borderId="1" xfId="0" applyFont="1" applyFill="1" applyBorder="1" applyAlignment="1"/>
    <xf numFmtId="0" fontId="2" fillId="11" borderId="2" xfId="0" applyFont="1" applyFill="1" applyBorder="1" applyAlignment="1"/>
    <xf numFmtId="187" fontId="2" fillId="11" borderId="2" xfId="0" applyNumberFormat="1" applyFont="1" applyFill="1" applyBorder="1" applyAlignment="1"/>
    <xf numFmtId="189" fontId="2" fillId="11" borderId="2" xfId="0" applyNumberFormat="1" applyFont="1" applyFill="1" applyBorder="1" applyAlignment="1"/>
    <xf numFmtId="0" fontId="2" fillId="12" borderId="8" xfId="0" applyFont="1" applyFill="1" applyBorder="1" applyAlignment="1"/>
    <xf numFmtId="0" fontId="2" fillId="12" borderId="9" xfId="0" applyFont="1" applyFill="1" applyBorder="1" applyAlignment="1"/>
    <xf numFmtId="0" fontId="5" fillId="12" borderId="9" xfId="0" applyFont="1" applyFill="1" applyBorder="1" applyAlignment="1"/>
    <xf numFmtId="0" fontId="6" fillId="12" borderId="9" xfId="0" applyFont="1" applyFill="1" applyBorder="1" applyAlignment="1"/>
    <xf numFmtId="0" fontId="2" fillId="12" borderId="10" xfId="0" applyFont="1" applyFill="1" applyBorder="1" applyAlignment="1"/>
    <xf numFmtId="0" fontId="5" fillId="12" borderId="10" xfId="0" applyFont="1" applyFill="1" applyBorder="1" applyAlignment="1">
      <alignment horizontal="center"/>
    </xf>
    <xf numFmtId="187" fontId="2" fillId="12" borderId="10" xfId="0" applyNumberFormat="1" applyFont="1" applyFill="1" applyBorder="1" applyAlignment="1"/>
    <xf numFmtId="189" fontId="2" fillId="12" borderId="10" xfId="0" applyNumberFormat="1" applyFont="1" applyFill="1" applyBorder="1" applyAlignment="1"/>
    <xf numFmtId="189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 applyAlignment="1"/>
    <xf numFmtId="0" fontId="7" fillId="12" borderId="10" xfId="0" applyFont="1" applyFill="1" applyBorder="1" applyAlignment="1">
      <alignment horizontal="center"/>
    </xf>
    <xf numFmtId="189" fontId="8" fillId="12" borderId="10" xfId="0" applyNumberFormat="1" applyFont="1" applyFill="1" applyBorder="1" applyAlignment="1">
      <alignment horizontal="right"/>
    </xf>
    <xf numFmtId="189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0" fontId="2" fillId="2" borderId="9" xfId="0" applyFont="1" applyFill="1" applyBorder="1" applyAlignment="1"/>
    <xf numFmtId="0" fontId="9" fillId="2" borderId="9" xfId="0" applyFont="1" applyFill="1" applyBorder="1" applyAlignment="1"/>
    <xf numFmtId="0" fontId="2" fillId="2" borderId="10" xfId="0" applyFont="1" applyFill="1" applyBorder="1" applyAlignment="1"/>
    <xf numFmtId="0" fontId="7" fillId="2" borderId="10" xfId="0" applyFont="1" applyFill="1" applyBorder="1" applyAlignment="1">
      <alignment horizontal="center"/>
    </xf>
    <xf numFmtId="187" fontId="2" fillId="2" borderId="10" xfId="0" applyNumberFormat="1" applyFont="1" applyFill="1" applyBorder="1" applyAlignment="1"/>
    <xf numFmtId="189" fontId="2" fillId="2" borderId="10" xfId="0" applyNumberFormat="1" applyFont="1" applyFill="1" applyBorder="1" applyAlignment="1"/>
    <xf numFmtId="189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 applyAlignment="1"/>
    <xf numFmtId="189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 applyAlignment="1"/>
    <xf numFmtId="0" fontId="2" fillId="2" borderId="7" xfId="0" applyFont="1" applyFill="1" applyBorder="1" applyAlignment="1"/>
    <xf numFmtId="0" fontId="7" fillId="2" borderId="1" xfId="0" applyFont="1" applyFill="1" applyBorder="1" applyAlignment="1"/>
    <xf numFmtId="0" fontId="2" fillId="2" borderId="2" xfId="0" applyFont="1" applyFill="1" applyBorder="1" applyAlignment="1"/>
    <xf numFmtId="0" fontId="7" fillId="2" borderId="2" xfId="0" applyFont="1" applyFill="1" applyBorder="1" applyAlignment="1">
      <alignment horizontal="center"/>
    </xf>
    <xf numFmtId="187" fontId="2" fillId="2" borderId="2" xfId="0" applyNumberFormat="1" applyFont="1" applyFill="1" applyBorder="1" applyAlignment="1"/>
    <xf numFmtId="0" fontId="5" fillId="13" borderId="7" xfId="0" applyFont="1" applyFill="1" applyBorder="1" applyAlignment="1"/>
    <xf numFmtId="0" fontId="2" fillId="13" borderId="1" xfId="0" applyFont="1" applyFill="1" applyBorder="1" applyAlignment="1"/>
    <xf numFmtId="0" fontId="2" fillId="13" borderId="2" xfId="0" applyFont="1" applyFill="1" applyBorder="1" applyAlignment="1"/>
    <xf numFmtId="187" fontId="2" fillId="13" borderId="2" xfId="0" applyNumberFormat="1" applyFont="1" applyFill="1" applyBorder="1" applyAlignment="1"/>
    <xf numFmtId="189" fontId="2" fillId="13" borderId="2" xfId="0" applyNumberFormat="1" applyFont="1" applyFill="1" applyBorder="1" applyAlignment="1"/>
    <xf numFmtId="0" fontId="5" fillId="14" borderId="7" xfId="0" applyFont="1" applyFill="1" applyBorder="1" applyAlignment="1"/>
    <xf numFmtId="0" fontId="2" fillId="14" borderId="1" xfId="0" applyFont="1" applyFill="1" applyBorder="1" applyAlignment="1"/>
    <xf numFmtId="187" fontId="2" fillId="14" borderId="1" xfId="0" applyNumberFormat="1" applyFont="1" applyFill="1" applyBorder="1" applyAlignment="1"/>
    <xf numFmtId="189" fontId="2" fillId="14" borderId="1" xfId="0" applyNumberFormat="1" applyFont="1" applyFill="1" applyBorder="1" applyAlignment="1"/>
    <xf numFmtId="189" fontId="2" fillId="14" borderId="2" xfId="0" applyNumberFormat="1" applyFont="1" applyFill="1" applyBorder="1" applyAlignment="1"/>
    <xf numFmtId="0" fontId="2" fillId="15" borderId="9" xfId="0" applyFont="1" applyFill="1" applyBorder="1" applyAlignment="1"/>
    <xf numFmtId="0" fontId="5" fillId="15" borderId="9" xfId="0" applyFont="1" applyFill="1" applyBorder="1" applyAlignment="1"/>
    <xf numFmtId="0" fontId="2" fillId="15" borderId="10" xfId="0" applyFont="1" applyFill="1" applyBorder="1" applyAlignment="1"/>
    <xf numFmtId="187" fontId="2" fillId="15" borderId="10" xfId="0" applyNumberFormat="1" applyFont="1" applyFill="1" applyBorder="1" applyAlignment="1"/>
    <xf numFmtId="189" fontId="2" fillId="15" borderId="10" xfId="0" applyNumberFormat="1" applyFont="1" applyFill="1" applyBorder="1" applyAlignment="1"/>
    <xf numFmtId="0" fontId="2" fillId="16" borderId="8" xfId="0" applyFont="1" applyFill="1" applyBorder="1" applyAlignment="1"/>
    <xf numFmtId="0" fontId="2" fillId="16" borderId="9" xfId="0" applyFont="1" applyFill="1" applyBorder="1" applyAlignment="1"/>
    <xf numFmtId="0" fontId="5" fillId="16" borderId="9" xfId="0" applyFont="1" applyFill="1" applyBorder="1" applyAlignment="1"/>
    <xf numFmtId="0" fontId="11" fillId="16" borderId="9" xfId="0" applyFont="1" applyFill="1" applyBorder="1" applyAlignment="1"/>
    <xf numFmtId="0" fontId="2" fillId="16" borderId="10" xfId="0" applyFont="1" applyFill="1" applyBorder="1" applyAlignment="1"/>
    <xf numFmtId="0" fontId="5" fillId="16" borderId="10" xfId="0" applyFont="1" applyFill="1" applyBorder="1" applyAlignment="1">
      <alignment horizontal="center"/>
    </xf>
    <xf numFmtId="187" fontId="2" fillId="16" borderId="10" xfId="0" applyNumberFormat="1" applyFont="1" applyFill="1" applyBorder="1" applyAlignment="1"/>
    <xf numFmtId="189" fontId="2" fillId="16" borderId="10" xfId="0" applyNumberFormat="1" applyFont="1" applyFill="1" applyBorder="1" applyAlignment="1"/>
    <xf numFmtId="189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 applyAlignment="1"/>
    <xf numFmtId="0" fontId="7" fillId="16" borderId="10" xfId="0" applyFont="1" applyFill="1" applyBorder="1" applyAlignment="1">
      <alignment horizontal="center"/>
    </xf>
    <xf numFmtId="189" fontId="8" fillId="16" borderId="10" xfId="0" applyNumberFormat="1" applyFont="1" applyFill="1" applyBorder="1" applyAlignment="1">
      <alignment horizontal="right"/>
    </xf>
    <xf numFmtId="189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 applyAlignment="1"/>
    <xf numFmtId="187" fontId="2" fillId="17" borderId="1" xfId="0" applyNumberFormat="1" applyFont="1" applyFill="1" applyBorder="1" applyAlignment="1"/>
    <xf numFmtId="189" fontId="2" fillId="17" borderId="1" xfId="0" applyNumberFormat="1" applyFont="1" applyFill="1" applyBorder="1" applyAlignment="1"/>
    <xf numFmtId="189" fontId="2" fillId="17" borderId="2" xfId="0" applyNumberFormat="1" applyFont="1" applyFill="1" applyBorder="1" applyAlignment="1"/>
    <xf numFmtId="0" fontId="2" fillId="18" borderId="8" xfId="0" applyFont="1" applyFill="1" applyBorder="1" applyAlignment="1"/>
    <xf numFmtId="0" fontId="2" fillId="18" borderId="10" xfId="0" applyFont="1" applyFill="1" applyBorder="1" applyAlignment="1"/>
    <xf numFmtId="187" fontId="2" fillId="18" borderId="10" xfId="0" applyNumberFormat="1" applyFont="1" applyFill="1" applyBorder="1" applyAlignment="1"/>
    <xf numFmtId="189" fontId="2" fillId="18" borderId="10" xfId="0" applyNumberFormat="1" applyFont="1" applyFill="1" applyBorder="1" applyAlignment="1"/>
    <xf numFmtId="0" fontId="2" fillId="19" borderId="8" xfId="0" applyFont="1" applyFill="1" applyBorder="1" applyAlignment="1"/>
    <xf numFmtId="0" fontId="5" fillId="19" borderId="9" xfId="0" applyFont="1" applyFill="1" applyBorder="1" applyAlignment="1"/>
    <xf numFmtId="0" fontId="2" fillId="19" borderId="9" xfId="0" applyFont="1" applyFill="1" applyBorder="1" applyAlignment="1"/>
    <xf numFmtId="0" fontId="2" fillId="19" borderId="10" xfId="0" applyFont="1" applyFill="1" applyBorder="1" applyAlignment="1"/>
    <xf numFmtId="187" fontId="2" fillId="19" borderId="10" xfId="0" applyNumberFormat="1" applyFont="1" applyFill="1" applyBorder="1" applyAlignment="1"/>
    <xf numFmtId="189" fontId="2" fillId="19" borderId="10" xfId="0" applyNumberFormat="1" applyFont="1" applyFill="1" applyBorder="1" applyAlignment="1"/>
    <xf numFmtId="0" fontId="2" fillId="20" borderId="8" xfId="0" applyFont="1" applyFill="1" applyBorder="1" applyAlignment="1"/>
    <xf numFmtId="0" fontId="2" fillId="20" borderId="9" xfId="0" applyFont="1" applyFill="1" applyBorder="1" applyAlignment="1"/>
    <xf numFmtId="0" fontId="5" fillId="20" borderId="9" xfId="0" applyFont="1" applyFill="1" applyBorder="1" applyAlignment="1"/>
    <xf numFmtId="0" fontId="12" fillId="20" borderId="9" xfId="0" applyFont="1" applyFill="1" applyBorder="1" applyAlignment="1"/>
    <xf numFmtId="0" fontId="2" fillId="20" borderId="10" xfId="0" applyFont="1" applyFill="1" applyBorder="1" applyAlignment="1"/>
    <xf numFmtId="0" fontId="5" fillId="20" borderId="10" xfId="0" applyFont="1" applyFill="1" applyBorder="1" applyAlignment="1">
      <alignment horizontal="center"/>
    </xf>
    <xf numFmtId="187" fontId="2" fillId="20" borderId="10" xfId="0" applyNumberFormat="1" applyFont="1" applyFill="1" applyBorder="1" applyAlignment="1"/>
    <xf numFmtId="189" fontId="2" fillId="20" borderId="10" xfId="0" applyNumberFormat="1" applyFont="1" applyFill="1" applyBorder="1" applyAlignment="1"/>
    <xf numFmtId="189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 applyAlignment="1"/>
    <xf numFmtId="0" fontId="7" fillId="20" borderId="10" xfId="0" applyFont="1" applyFill="1" applyBorder="1" applyAlignment="1">
      <alignment horizontal="center"/>
    </xf>
    <xf numFmtId="189" fontId="7" fillId="20" borderId="10" xfId="0" applyNumberFormat="1" applyFont="1" applyFill="1" applyBorder="1" applyAlignment="1">
      <alignment horizontal="right"/>
    </xf>
    <xf numFmtId="189" fontId="8" fillId="20" borderId="10" xfId="0" applyNumberFormat="1" applyFont="1" applyFill="1" applyBorder="1" applyAlignment="1">
      <alignment horizontal="right"/>
    </xf>
    <xf numFmtId="189" fontId="7" fillId="2" borderId="2" xfId="0" applyNumberFormat="1" applyFont="1" applyFill="1" applyBorder="1" applyAlignment="1">
      <alignment horizontal="right"/>
    </xf>
    <xf numFmtId="188" fontId="5" fillId="21" borderId="7" xfId="0" applyNumberFormat="1" applyFont="1" applyFill="1" applyBorder="1" applyAlignment="1"/>
    <xf numFmtId="188" fontId="2" fillId="21" borderId="1" xfId="0" applyNumberFormat="1" applyFont="1" applyFill="1" applyBorder="1" applyAlignment="1"/>
    <xf numFmtId="0" fontId="2" fillId="21" borderId="1" xfId="0" applyFont="1" applyFill="1" applyBorder="1" applyAlignment="1"/>
    <xf numFmtId="187" fontId="2" fillId="21" borderId="1" xfId="0" applyNumberFormat="1" applyFont="1" applyFill="1" applyBorder="1" applyAlignment="1"/>
    <xf numFmtId="189" fontId="2" fillId="21" borderId="1" xfId="0" applyNumberFormat="1" applyFont="1" applyFill="1" applyBorder="1" applyAlignment="1"/>
    <xf numFmtId="189" fontId="2" fillId="21" borderId="2" xfId="0" applyNumberFormat="1" applyFont="1" applyFill="1" applyBorder="1" applyAlignment="1"/>
    <xf numFmtId="188" fontId="5" fillId="22" borderId="8" xfId="0" applyNumberFormat="1" applyFont="1" applyFill="1" applyBorder="1" applyAlignment="1"/>
    <xf numFmtId="0" fontId="2" fillId="22" borderId="9" xfId="0" applyFont="1" applyFill="1" applyBorder="1" applyAlignment="1"/>
    <xf numFmtId="188" fontId="2" fillId="22" borderId="9" xfId="0" applyNumberFormat="1" applyFont="1" applyFill="1" applyBorder="1" applyAlignment="1"/>
    <xf numFmtId="0" fontId="2" fillId="22" borderId="10" xfId="0" applyFont="1" applyFill="1" applyBorder="1" applyAlignment="1"/>
    <xf numFmtId="187" fontId="2" fillId="22" borderId="10" xfId="0" applyNumberFormat="1" applyFont="1" applyFill="1" applyBorder="1" applyAlignment="1"/>
    <xf numFmtId="189" fontId="2" fillId="22" borderId="10" xfId="0" applyNumberFormat="1" applyFont="1" applyFill="1" applyBorder="1" applyAlignment="1"/>
    <xf numFmtId="190" fontId="2" fillId="12" borderId="8" xfId="0" applyNumberFormat="1" applyFont="1" applyFill="1" applyBorder="1" applyAlignment="1"/>
    <xf numFmtId="0" fontId="5" fillId="12" borderId="9" xfId="0" applyFont="1" applyFill="1" applyBorder="1" applyAlignment="1"/>
    <xf numFmtId="188" fontId="2" fillId="12" borderId="9" xfId="0" applyNumberFormat="1" applyFont="1" applyFill="1" applyBorder="1" applyAlignment="1"/>
    <xf numFmtId="0" fontId="5" fillId="12" borderId="10" xfId="0" applyFont="1" applyFill="1" applyBorder="1" applyAlignment="1">
      <alignment horizontal="center" wrapText="1"/>
    </xf>
    <xf numFmtId="187" fontId="5" fillId="12" borderId="10" xfId="0" applyNumberFormat="1" applyFont="1" applyFill="1" applyBorder="1" applyAlignment="1">
      <alignment horizontal="right"/>
    </xf>
    <xf numFmtId="190" fontId="2" fillId="2" borderId="8" xfId="0" applyNumberFormat="1" applyFont="1" applyFill="1" applyBorder="1" applyAlignment="1"/>
    <xf numFmtId="0" fontId="5" fillId="2" borderId="9" xfId="0" applyFont="1" applyFill="1" applyBorder="1" applyAlignment="1"/>
    <xf numFmtId="0" fontId="13" fillId="2" borderId="9" xfId="0" applyFont="1" applyFill="1" applyBorder="1" applyAlignment="1"/>
    <xf numFmtId="188" fontId="5" fillId="2" borderId="10" xfId="0" applyNumberFormat="1" applyFont="1" applyFill="1" applyBorder="1" applyAlignment="1">
      <alignment horizontal="center"/>
    </xf>
    <xf numFmtId="189" fontId="5" fillId="2" borderId="10" xfId="0" applyNumberFormat="1" applyFont="1" applyFill="1" applyBorder="1" applyAlignment="1">
      <alignment horizontal="right"/>
    </xf>
    <xf numFmtId="188" fontId="7" fillId="2" borderId="10" xfId="0" applyNumberFormat="1" applyFont="1" applyFill="1" applyBorder="1" applyAlignment="1">
      <alignment horizontal="center"/>
    </xf>
    <xf numFmtId="188" fontId="7" fillId="0" borderId="10" xfId="0" applyNumberFormat="1" applyFont="1" applyBorder="1" applyAlignment="1">
      <alignment horizontal="center" wrapText="1"/>
    </xf>
    <xf numFmtId="187" fontId="2" fillId="0" borderId="10" xfId="0" applyNumberFormat="1" applyFont="1" applyBorder="1" applyAlignment="1"/>
    <xf numFmtId="189" fontId="2" fillId="0" borderId="10" xfId="0" applyNumberFormat="1" applyFont="1" applyBorder="1" applyAlignment="1"/>
    <xf numFmtId="188" fontId="7" fillId="0" borderId="10" xfId="0" applyNumberFormat="1" applyFont="1" applyBorder="1" applyAlignment="1">
      <alignment horizontal="center"/>
    </xf>
    <xf numFmtId="188" fontId="2" fillId="0" borderId="8" xfId="0" applyNumberFormat="1" applyFont="1" applyBorder="1" applyAlignment="1"/>
    <xf numFmtId="188" fontId="2" fillId="0" borderId="9" xfId="0" applyNumberFormat="1" applyFont="1" applyBorder="1" applyAlignment="1"/>
    <xf numFmtId="0" fontId="14" fillId="23" borderId="9" xfId="0" quotePrefix="1" applyFont="1" applyFill="1" applyBorder="1" applyAlignment="1"/>
    <xf numFmtId="0" fontId="2" fillId="23" borderId="9" xfId="0" applyFont="1" applyFill="1" applyBorder="1" applyAlignment="1"/>
    <xf numFmtId="0" fontId="2" fillId="23" borderId="10" xfId="0" applyFont="1" applyFill="1" applyBorder="1" applyAlignment="1"/>
    <xf numFmtId="0" fontId="2" fillId="0" borderId="10" xfId="0" applyFont="1" applyBorder="1" applyAlignment="1"/>
    <xf numFmtId="0" fontId="7" fillId="0" borderId="9" xfId="0" quotePrefix="1" applyFont="1" applyBorder="1" applyAlignment="1"/>
    <xf numFmtId="0" fontId="2" fillId="0" borderId="9" xfId="0" applyFont="1" applyBorder="1" applyAlignment="1"/>
    <xf numFmtId="0" fontId="5" fillId="0" borderId="10" xfId="0" applyFont="1" applyBorder="1" applyAlignment="1">
      <alignment horizontal="center" wrapText="1"/>
    </xf>
    <xf numFmtId="187" fontId="5" fillId="2" borderId="10" xfId="0" applyNumberFormat="1" applyFont="1" applyFill="1" applyBorder="1" applyAlignment="1">
      <alignment horizontal="right"/>
    </xf>
    <xf numFmtId="189" fontId="5" fillId="0" borderId="10" xfId="0" applyNumberFormat="1" applyFont="1" applyBorder="1" applyAlignment="1">
      <alignment horizontal="right"/>
    </xf>
    <xf numFmtId="0" fontId="7" fillId="0" borderId="9" xfId="0" applyFont="1" applyBorder="1" applyAlignment="1"/>
    <xf numFmtId="0" fontId="7" fillId="0" borderId="10" xfId="0" applyFont="1" applyBorder="1" applyAlignment="1">
      <alignment horizontal="center"/>
    </xf>
    <xf numFmtId="187" fontId="7" fillId="0" borderId="10" xfId="0" applyNumberFormat="1" applyFont="1" applyBorder="1" applyAlignment="1">
      <alignment horizontal="right"/>
    </xf>
    <xf numFmtId="187" fontId="7" fillId="2" borderId="10" xfId="0" applyNumberFormat="1" applyFont="1" applyFill="1" applyBorder="1" applyAlignment="1">
      <alignment horizontal="right"/>
    </xf>
    <xf numFmtId="189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88" fontId="2" fillId="22" borderId="10" xfId="0" applyNumberFormat="1" applyFont="1" applyFill="1" applyBorder="1" applyAlignment="1"/>
    <xf numFmtId="188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 applyAlignment="1"/>
    <xf numFmtId="188" fontId="8" fillId="2" borderId="10" xfId="0" applyNumberFormat="1" applyFont="1" applyFill="1" applyBorder="1" applyAlignment="1">
      <alignment horizontal="center"/>
    </xf>
    <xf numFmtId="188" fontId="2" fillId="2" borderId="9" xfId="0" applyNumberFormat="1" applyFont="1" applyFill="1" applyBorder="1" applyAlignment="1"/>
    <xf numFmtId="188" fontId="8" fillId="0" borderId="10" xfId="0" applyNumberFormat="1" applyFont="1" applyBorder="1" applyAlignment="1">
      <alignment horizontal="center" wrapText="1"/>
    </xf>
    <xf numFmtId="188" fontId="15" fillId="2" borderId="9" xfId="0" applyNumberFormat="1" applyFont="1" applyFill="1" applyBorder="1" applyAlignment="1"/>
    <xf numFmtId="188" fontId="5" fillId="2" borderId="9" xfId="0" applyNumberFormat="1" applyFont="1" applyFill="1" applyBorder="1" applyAlignment="1"/>
    <xf numFmtId="188" fontId="2" fillId="10" borderId="8" xfId="0" applyNumberFormat="1" applyFont="1" applyFill="1" applyBorder="1" applyAlignment="1"/>
    <xf numFmtId="188" fontId="2" fillId="10" borderId="9" xfId="0" applyNumberFormat="1" applyFont="1" applyFill="1" applyBorder="1" applyAlignment="1"/>
    <xf numFmtId="0" fontId="5" fillId="0" borderId="9" xfId="0" applyFont="1" applyBorder="1" applyAlignment="1"/>
    <xf numFmtId="0" fontId="2" fillId="0" borderId="0" xfId="0" applyFont="1" applyAlignment="1"/>
    <xf numFmtId="0" fontId="7" fillId="0" borderId="9" xfId="0" applyFont="1" applyBorder="1" applyAlignment="1"/>
    <xf numFmtId="187" fontId="7" fillId="24" borderId="10" xfId="0" applyNumberFormat="1" applyFont="1" applyFill="1" applyBorder="1" applyAlignment="1">
      <alignment horizontal="right"/>
    </xf>
    <xf numFmtId="0" fontId="2" fillId="0" borderId="9" xfId="0" applyFont="1" applyBorder="1" applyAlignment="1"/>
    <xf numFmtId="188" fontId="2" fillId="0" borderId="11" xfId="0" applyNumberFormat="1" applyFont="1" applyBorder="1" applyAlignment="1"/>
    <xf numFmtId="188" fontId="2" fillId="0" borderId="12" xfId="0" applyNumberFormat="1" applyFont="1" applyBorder="1" applyAlignment="1"/>
    <xf numFmtId="188" fontId="7" fillId="0" borderId="12" xfId="0" applyNumberFormat="1" applyFont="1" applyBorder="1" applyAlignment="1"/>
    <xf numFmtId="0" fontId="2" fillId="0" borderId="12" xfId="0" applyFont="1" applyBorder="1" applyAlignment="1"/>
    <xf numFmtId="0" fontId="2" fillId="0" borderId="13" xfId="0" applyFont="1" applyBorder="1" applyAlignment="1"/>
    <xf numFmtId="0" fontId="7" fillId="0" borderId="13" xfId="0" applyFont="1" applyBorder="1" applyAlignment="1">
      <alignment horizontal="center"/>
    </xf>
    <xf numFmtId="187" fontId="7" fillId="0" borderId="13" xfId="0" applyNumberFormat="1" applyFont="1" applyBorder="1" applyAlignment="1">
      <alignment horizontal="right"/>
    </xf>
    <xf numFmtId="187" fontId="7" fillId="24" borderId="13" xfId="0" applyNumberFormat="1" applyFont="1" applyFill="1" applyBorder="1" applyAlignment="1">
      <alignment horizontal="right"/>
    </xf>
    <xf numFmtId="189" fontId="7" fillId="2" borderId="13" xfId="0" applyNumberFormat="1" applyFont="1" applyFill="1" applyBorder="1" applyAlignment="1">
      <alignment horizontal="right"/>
    </xf>
    <xf numFmtId="189" fontId="2" fillId="2" borderId="13" xfId="0" applyNumberFormat="1" applyFont="1" applyFill="1" applyBorder="1" applyAlignment="1"/>
    <xf numFmtId="189" fontId="2" fillId="0" borderId="13" xfId="0" applyNumberFormat="1" applyFont="1" applyBorder="1" applyAlignment="1"/>
    <xf numFmtId="190" fontId="2" fillId="22" borderId="9" xfId="0" applyNumberFormat="1" applyFont="1" applyFill="1" applyBorder="1" applyAlignment="1"/>
    <xf numFmtId="187" fontId="2" fillId="22" borderId="9" xfId="0" applyNumberFormat="1" applyFont="1" applyFill="1" applyBorder="1" applyAlignment="1"/>
    <xf numFmtId="189" fontId="2" fillId="22" borderId="9" xfId="0" applyNumberFormat="1" applyFont="1" applyFill="1" applyBorder="1" applyAlignment="1"/>
    <xf numFmtId="188" fontId="5" fillId="12" borderId="9" xfId="0" applyNumberFormat="1" applyFont="1" applyFill="1" applyBorder="1" applyAlignment="1"/>
    <xf numFmtId="190" fontId="2" fillId="12" borderId="9" xfId="0" applyNumberFormat="1" applyFont="1" applyFill="1" applyBorder="1" applyAlignment="1"/>
    <xf numFmtId="188" fontId="5" fillId="12" borderId="10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188" fontId="7" fillId="2" borderId="10" xfId="0" applyNumberFormat="1" applyFont="1" applyFill="1" applyBorder="1" applyAlignment="1">
      <alignment horizontal="center" wrapText="1"/>
    </xf>
    <xf numFmtId="188" fontId="8" fillId="2" borderId="10" xfId="0" applyNumberFormat="1" applyFont="1" applyFill="1" applyBorder="1" applyAlignment="1">
      <alignment horizontal="center" wrapText="1"/>
    </xf>
    <xf numFmtId="188" fontId="16" fillId="2" borderId="9" xfId="0" applyNumberFormat="1" applyFont="1" applyFill="1" applyBorder="1" applyAlignment="1">
      <alignment horizontal="center"/>
    </xf>
    <xf numFmtId="188" fontId="2" fillId="0" borderId="10" xfId="0" applyNumberFormat="1" applyFont="1" applyBorder="1" applyAlignment="1"/>
    <xf numFmtId="0" fontId="8" fillId="0" borderId="9" xfId="0" applyFont="1" applyBorder="1" applyAlignment="1"/>
    <xf numFmtId="188" fontId="2" fillId="2" borderId="10" xfId="0" applyNumberFormat="1" applyFont="1" applyFill="1" applyBorder="1" applyAlignment="1"/>
    <xf numFmtId="188" fontId="2" fillId="10" borderId="10" xfId="0" applyNumberFormat="1" applyFont="1" applyFill="1" applyBorder="1" applyAlignment="1"/>
    <xf numFmtId="187" fontId="2" fillId="12" borderId="9" xfId="0" applyNumberFormat="1" applyFont="1" applyFill="1" applyBorder="1" applyAlignment="1"/>
    <xf numFmtId="190" fontId="5" fillId="12" borderId="9" xfId="0" applyNumberFormat="1" applyFont="1" applyFill="1" applyBorder="1" applyAlignment="1"/>
    <xf numFmtId="0" fontId="5" fillId="12" borderId="10" xfId="0" applyFont="1" applyFill="1" applyBorder="1" applyAlignment="1">
      <alignment horizontal="center" wrapText="1"/>
    </xf>
    <xf numFmtId="0" fontId="5" fillId="2" borderId="9" xfId="0" applyFont="1" applyFill="1" applyBorder="1" applyAlignment="1"/>
    <xf numFmtId="0" fontId="2" fillId="2" borderId="9" xfId="0" applyFont="1" applyFill="1" applyBorder="1" applyAlignment="1"/>
    <xf numFmtId="0" fontId="7" fillId="2" borderId="9" xfId="0" applyFont="1" applyFill="1" applyBorder="1" applyAlignment="1"/>
    <xf numFmtId="190" fontId="2" fillId="2" borderId="7" xfId="0" applyNumberFormat="1" applyFont="1" applyFill="1" applyBorder="1" applyAlignment="1"/>
    <xf numFmtId="0" fontId="7" fillId="2" borderId="1" xfId="0" applyFont="1" applyFill="1" applyBorder="1" applyAlignment="1"/>
    <xf numFmtId="188" fontId="7" fillId="0" borderId="2" xfId="0" applyNumberFormat="1" applyFont="1" applyBorder="1" applyAlignment="1">
      <alignment horizontal="center"/>
    </xf>
    <xf numFmtId="187" fontId="7" fillId="2" borderId="2" xfId="0" applyNumberFormat="1" applyFont="1" applyFill="1" applyBorder="1" applyAlignment="1">
      <alignment horizontal="right"/>
    </xf>
    <xf numFmtId="188" fontId="5" fillId="9" borderId="7" xfId="0" applyNumberFormat="1" applyFont="1" applyFill="1" applyBorder="1" applyAlignment="1"/>
    <xf numFmtId="188" fontId="2" fillId="9" borderId="1" xfId="0" applyNumberFormat="1" applyFont="1" applyFill="1" applyBorder="1" applyAlignment="1"/>
    <xf numFmtId="0" fontId="2" fillId="9" borderId="1" xfId="0" applyFont="1" applyFill="1" applyBorder="1" applyAlignment="1"/>
    <xf numFmtId="187" fontId="2" fillId="9" borderId="1" xfId="0" applyNumberFormat="1" applyFont="1" applyFill="1" applyBorder="1" applyAlignment="1"/>
    <xf numFmtId="189" fontId="2" fillId="9" borderId="1" xfId="0" applyNumberFormat="1" applyFont="1" applyFill="1" applyBorder="1" applyAlignment="1"/>
    <xf numFmtId="189" fontId="2" fillId="9" borderId="2" xfId="0" applyNumberFormat="1" applyFont="1" applyFill="1" applyBorder="1" applyAlignment="1"/>
    <xf numFmtId="188" fontId="5" fillId="25" borderId="8" xfId="0" applyNumberFormat="1" applyFont="1" applyFill="1" applyBorder="1" applyAlignment="1"/>
    <xf numFmtId="188" fontId="2" fillId="25" borderId="9" xfId="0" applyNumberFormat="1" applyFont="1" applyFill="1" applyBorder="1" applyAlignment="1"/>
    <xf numFmtId="0" fontId="2" fillId="25" borderId="9" xfId="0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189" fontId="2" fillId="25" borderId="10" xfId="0" applyNumberFormat="1" applyFont="1" applyFill="1" applyBorder="1" applyAlignment="1"/>
    <xf numFmtId="188" fontId="2" fillId="23" borderId="8" xfId="0" applyNumberFormat="1" applyFont="1" applyFill="1" applyBorder="1" applyAlignment="1"/>
    <xf numFmtId="0" fontId="5" fillId="23" borderId="9" xfId="0" applyFont="1" applyFill="1" applyBorder="1" applyAlignment="1"/>
    <xf numFmtId="188" fontId="2" fillId="23" borderId="9" xfId="0" applyNumberFormat="1" applyFont="1" applyFill="1" applyBorder="1" applyAlignment="1"/>
    <xf numFmtId="0" fontId="5" fillId="23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right"/>
    </xf>
    <xf numFmtId="189" fontId="5" fillId="23" borderId="10" xfId="0" applyNumberFormat="1" applyFont="1" applyFill="1" applyBorder="1" applyAlignment="1">
      <alignment horizontal="right"/>
    </xf>
    <xf numFmtId="189" fontId="2" fillId="23" borderId="10" xfId="0" applyNumberFormat="1" applyFont="1" applyFill="1" applyBorder="1" applyAlignment="1"/>
    <xf numFmtId="188" fontId="2" fillId="2" borderId="8" xfId="0" applyNumberFormat="1" applyFont="1" applyFill="1" applyBorder="1" applyAlignment="1"/>
    <xf numFmtId="188" fontId="7" fillId="2" borderId="9" xfId="0" applyNumberFormat="1" applyFont="1" applyFill="1" applyBorder="1" applyAlignment="1"/>
    <xf numFmtId="0" fontId="7" fillId="2" borderId="10" xfId="0" applyFont="1" applyFill="1" applyBorder="1" applyAlignment="1">
      <alignment horizontal="center" wrapText="1"/>
    </xf>
    <xf numFmtId="187" fontId="5" fillId="23" borderId="10" xfId="0" applyNumberFormat="1" applyFont="1" applyFill="1" applyBorder="1" applyAlignment="1">
      <alignment horizontal="center"/>
    </xf>
    <xf numFmtId="189" fontId="5" fillId="23" borderId="10" xfId="0" applyNumberFormat="1" applyFont="1" applyFill="1" applyBorder="1" applyAlignment="1">
      <alignment horizontal="center"/>
    </xf>
    <xf numFmtId="188" fontId="2" fillId="26" borderId="8" xfId="0" applyNumberFormat="1" applyFont="1" applyFill="1" applyBorder="1" applyAlignment="1"/>
    <xf numFmtId="188" fontId="2" fillId="26" borderId="9" xfId="0" applyNumberFormat="1" applyFont="1" applyFill="1" applyBorder="1" applyAlignment="1"/>
    <xf numFmtId="0" fontId="5" fillId="26" borderId="9" xfId="0" applyFont="1" applyFill="1" applyBorder="1" applyAlignment="1"/>
    <xf numFmtId="0" fontId="2" fillId="26" borderId="9" xfId="0" applyFont="1" applyFill="1" applyBorder="1" applyAlignment="1"/>
    <xf numFmtId="0" fontId="2" fillId="26" borderId="10" xfId="0" applyFont="1" applyFill="1" applyBorder="1" applyAlignment="1"/>
    <xf numFmtId="0" fontId="5" fillId="26" borderId="10" xfId="0" applyFont="1" applyFill="1" applyBorder="1" applyAlignment="1">
      <alignment horizontal="center" wrapText="1"/>
    </xf>
    <xf numFmtId="187" fontId="5" fillId="26" borderId="10" xfId="0" applyNumberFormat="1" applyFont="1" applyFill="1" applyBorder="1" applyAlignment="1">
      <alignment horizontal="right"/>
    </xf>
    <xf numFmtId="189" fontId="5" fillId="26" borderId="10" xfId="0" applyNumberFormat="1" applyFont="1" applyFill="1" applyBorder="1" applyAlignment="1">
      <alignment horizontal="right"/>
    </xf>
    <xf numFmtId="189" fontId="2" fillId="26" borderId="10" xfId="0" applyNumberFormat="1" applyFont="1" applyFill="1" applyBorder="1" applyAlignment="1"/>
    <xf numFmtId="0" fontId="17" fillId="2" borderId="9" xfId="0" quotePrefix="1" applyFont="1" applyFill="1" applyBorder="1" applyAlignment="1"/>
    <xf numFmtId="188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87" fontId="5" fillId="26" borderId="10" xfId="0" applyNumberFormat="1" applyFont="1" applyFill="1" applyBorder="1" applyAlignment="1">
      <alignment horizontal="center"/>
    </xf>
    <xf numFmtId="189" fontId="5" fillId="26" borderId="10" xfId="0" applyNumberFormat="1" applyFont="1" applyFill="1" applyBorder="1" applyAlignment="1">
      <alignment horizontal="center"/>
    </xf>
    <xf numFmtId="0" fontId="7" fillId="0" borderId="10" xfId="0" applyFont="1" applyBorder="1" applyAlignment="1"/>
    <xf numFmtId="187" fontId="7" fillId="2" borderId="10" xfId="0" applyNumberFormat="1" applyFont="1" applyFill="1" applyBorder="1" applyAlignment="1">
      <alignment horizontal="center"/>
    </xf>
    <xf numFmtId="189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89" fontId="7" fillId="2" borderId="10" xfId="0" applyNumberFormat="1" applyFont="1" applyFill="1" applyBorder="1" applyAlignment="1">
      <alignment horizontal="center"/>
    </xf>
    <xf numFmtId="188" fontId="2" fillId="27" borderId="8" xfId="0" applyNumberFormat="1" applyFont="1" applyFill="1" applyBorder="1" applyAlignment="1"/>
    <xf numFmtId="188" fontId="2" fillId="27" borderId="9" xfId="0" applyNumberFormat="1" applyFont="1" applyFill="1" applyBorder="1" applyAlignment="1"/>
    <xf numFmtId="0" fontId="2" fillId="27" borderId="9" xfId="0" applyFont="1" applyFill="1" applyBorder="1" applyAlignment="1"/>
    <xf numFmtId="0" fontId="2" fillId="27" borderId="10" xfId="0" applyFont="1" applyFill="1" applyBorder="1" applyAlignment="1"/>
    <xf numFmtId="188" fontId="2" fillId="27" borderId="10" xfId="0" applyNumberFormat="1" applyFont="1" applyFill="1" applyBorder="1" applyAlignment="1"/>
    <xf numFmtId="187" fontId="2" fillId="27" borderId="10" xfId="0" applyNumberFormat="1" applyFont="1" applyFill="1" applyBorder="1" applyAlignment="1"/>
    <xf numFmtId="189" fontId="2" fillId="27" borderId="10" xfId="0" applyNumberFormat="1" applyFont="1" applyFill="1" applyBorder="1" applyAlignment="1"/>
    <xf numFmtId="188" fontId="7" fillId="0" borderId="9" xfId="0" quotePrefix="1" applyNumberFormat="1" applyFont="1" applyBorder="1" applyAlignment="1"/>
    <xf numFmtId="0" fontId="16" fillId="27" borderId="9" xfId="0" applyFont="1" applyFill="1" applyBorder="1" applyAlignment="1"/>
    <xf numFmtId="0" fontId="16" fillId="27" borderId="10" xfId="0" applyFont="1" applyFill="1" applyBorder="1" applyAlignment="1">
      <alignment horizontal="center" wrapText="1"/>
    </xf>
    <xf numFmtId="190" fontId="2" fillId="27" borderId="8" xfId="0" applyNumberFormat="1" applyFont="1" applyFill="1" applyBorder="1" applyAlignment="1"/>
    <xf numFmtId="0" fontId="16" fillId="27" borderId="9" xfId="0" applyFont="1" applyFill="1" applyBorder="1" applyAlignment="1"/>
    <xf numFmtId="0" fontId="18" fillId="27" borderId="9" xfId="0" applyFont="1" applyFill="1" applyBorder="1" applyAlignment="1"/>
    <xf numFmtId="188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 applyAlignment="1"/>
    <xf numFmtId="188" fontId="8" fillId="27" borderId="10" xfId="0" applyNumberFormat="1" applyFont="1" applyFill="1" applyBorder="1" applyAlignment="1">
      <alignment horizontal="center" wrapText="1"/>
    </xf>
    <xf numFmtId="188" fontId="16" fillId="27" borderId="9" xfId="0" applyNumberFormat="1" applyFont="1" applyFill="1" applyBorder="1" applyAlignment="1"/>
    <xf numFmtId="0" fontId="19" fillId="27" borderId="9" xfId="0" quotePrefix="1" applyFont="1" applyFill="1" applyBorder="1" applyAlignment="1"/>
    <xf numFmtId="0" fontId="8" fillId="27" borderId="10" xfId="0" applyFont="1" applyFill="1" applyBorder="1" applyAlignment="1">
      <alignment horizontal="center"/>
    </xf>
    <xf numFmtId="188" fontId="8" fillId="27" borderId="9" xfId="0" quotePrefix="1" applyNumberFormat="1" applyFont="1" applyFill="1" applyBorder="1" applyAlignment="1"/>
    <xf numFmtId="0" fontId="8" fillId="27" borderId="9" xfId="0" quotePrefix="1" applyFont="1" applyFill="1" applyBorder="1" applyAlignment="1"/>
    <xf numFmtId="0" fontId="7" fillId="2" borderId="9" xfId="0" applyFont="1" applyFill="1" applyBorder="1" applyAlignment="1"/>
    <xf numFmtId="46" fontId="2" fillId="2" borderId="8" xfId="0" applyNumberFormat="1" applyFont="1" applyFill="1" applyBorder="1" applyAlignment="1"/>
    <xf numFmtId="0" fontId="7" fillId="2" borderId="9" xfId="0" quotePrefix="1" applyFont="1" applyFill="1" applyBorder="1" applyAlignment="1"/>
    <xf numFmtId="188" fontId="2" fillId="0" borderId="7" xfId="0" applyNumberFormat="1" applyFont="1" applyBorder="1" applyAlignment="1"/>
    <xf numFmtId="188" fontId="2" fillId="0" borderId="1" xfId="0" applyNumberFormat="1" applyFont="1" applyBorder="1" applyAlignment="1"/>
    <xf numFmtId="0" fontId="7" fillId="0" borderId="1" xfId="0" quotePrefix="1" applyFont="1" applyBorder="1" applyAlignment="1"/>
    <xf numFmtId="0" fontId="2" fillId="0" borderId="1" xfId="0" applyFont="1" applyBorder="1" applyAlignment="1"/>
    <xf numFmtId="0" fontId="2" fillId="0" borderId="2" xfId="0" applyFont="1" applyBorder="1" applyAlignment="1"/>
    <xf numFmtId="189" fontId="7" fillId="0" borderId="2" xfId="0" applyNumberFormat="1" applyFont="1" applyBorder="1" applyAlignment="1">
      <alignment horizontal="right"/>
    </xf>
    <xf numFmtId="189" fontId="2" fillId="0" borderId="2" xfId="0" applyNumberFormat="1" applyFont="1" applyBorder="1" applyAlignment="1"/>
    <xf numFmtId="188" fontId="3" fillId="28" borderId="7" xfId="0" applyNumberFormat="1" applyFont="1" applyFill="1" applyBorder="1" applyAlignment="1"/>
    <xf numFmtId="188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187" fontId="2" fillId="28" borderId="1" xfId="0" applyNumberFormat="1" applyFont="1" applyFill="1" applyBorder="1" applyAlignment="1"/>
    <xf numFmtId="189" fontId="2" fillId="28" borderId="1" xfId="0" applyNumberFormat="1" applyFont="1" applyFill="1" applyBorder="1" applyAlignment="1"/>
    <xf numFmtId="189" fontId="2" fillId="28" borderId="2" xfId="0" applyNumberFormat="1" applyFont="1" applyFill="1" applyBorder="1" applyAlignment="1"/>
    <xf numFmtId="188" fontId="5" fillId="29" borderId="8" xfId="0" applyNumberFormat="1" applyFont="1" applyFill="1" applyBorder="1" applyAlignment="1"/>
    <xf numFmtId="0" fontId="2" fillId="29" borderId="9" xfId="0" applyFont="1" applyFill="1" applyBorder="1" applyAlignment="1"/>
    <xf numFmtId="188" fontId="2" fillId="29" borderId="9" xfId="0" applyNumberFormat="1" applyFont="1" applyFill="1" applyBorder="1" applyAlignment="1"/>
    <xf numFmtId="187" fontId="2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2" fillId="29" borderId="10" xfId="0" applyNumberFormat="1" applyFont="1" applyFill="1" applyBorder="1" applyAlignment="1"/>
    <xf numFmtId="190" fontId="2" fillId="30" borderId="8" xfId="0" applyNumberFormat="1" applyFont="1" applyFill="1" applyBorder="1" applyAlignment="1"/>
    <xf numFmtId="0" fontId="5" fillId="30" borderId="9" xfId="0" applyFont="1" applyFill="1" applyBorder="1" applyAlignment="1"/>
    <xf numFmtId="0" fontId="2" fillId="30" borderId="9" xfId="0" applyFont="1" applyFill="1" applyBorder="1" applyAlignment="1"/>
    <xf numFmtId="188" fontId="2" fillId="30" borderId="9" xfId="0" applyNumberFormat="1" applyFont="1" applyFill="1" applyBorder="1" applyAlignment="1"/>
    <xf numFmtId="0" fontId="2" fillId="30" borderId="10" xfId="0" applyFont="1" applyFill="1" applyBorder="1" applyAlignment="1"/>
    <xf numFmtId="0" fontId="5" fillId="30" borderId="10" xfId="0" applyFont="1" applyFill="1" applyBorder="1" applyAlignment="1">
      <alignment horizontal="center" wrapText="1"/>
    </xf>
    <xf numFmtId="187" fontId="5" fillId="30" borderId="10" xfId="0" applyNumberFormat="1" applyFont="1" applyFill="1" applyBorder="1" applyAlignment="1">
      <alignment horizontal="right"/>
    </xf>
    <xf numFmtId="189" fontId="5" fillId="30" borderId="10" xfId="0" applyNumberFormat="1" applyFont="1" applyFill="1" applyBorder="1" applyAlignment="1">
      <alignment horizontal="right"/>
    </xf>
    <xf numFmtId="189" fontId="2" fillId="30" borderId="10" xfId="0" applyNumberFormat="1" applyFont="1" applyFill="1" applyBorder="1" applyAlignment="1"/>
    <xf numFmtId="0" fontId="5" fillId="0" borderId="9" xfId="0" applyFont="1" applyBorder="1" applyAlignment="1"/>
    <xf numFmtId="0" fontId="7" fillId="0" borderId="9" xfId="0" applyFont="1" applyBorder="1" applyAlignment="1"/>
    <xf numFmtId="188" fontId="5" fillId="31" borderId="7" xfId="0" applyNumberFormat="1" applyFont="1" applyFill="1" applyBorder="1" applyAlignment="1"/>
    <xf numFmtId="188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187" fontId="2" fillId="31" borderId="1" xfId="0" applyNumberFormat="1" applyFont="1" applyFill="1" applyBorder="1" applyAlignment="1"/>
    <xf numFmtId="189" fontId="2" fillId="31" borderId="1" xfId="0" applyNumberFormat="1" applyFont="1" applyFill="1" applyBorder="1" applyAlignment="1"/>
    <xf numFmtId="189" fontId="2" fillId="31" borderId="2" xfId="0" applyNumberFormat="1" applyFont="1" applyFill="1" applyBorder="1" applyAlignment="1"/>
    <xf numFmtId="188" fontId="5" fillId="32" borderId="8" xfId="0" applyNumberFormat="1" applyFont="1" applyFill="1" applyBorder="1" applyAlignment="1"/>
    <xf numFmtId="188" fontId="2" fillId="32" borderId="9" xfId="0" applyNumberFormat="1" applyFont="1" applyFill="1" applyBorder="1" applyAlignment="1"/>
    <xf numFmtId="0" fontId="2" fillId="32" borderId="9" xfId="0" applyFont="1" applyFill="1" applyBorder="1" applyAlignment="1"/>
    <xf numFmtId="0" fontId="2" fillId="32" borderId="10" xfId="0" applyFont="1" applyFill="1" applyBorder="1" applyAlignment="1"/>
    <xf numFmtId="187" fontId="2" fillId="32" borderId="10" xfId="0" applyNumberFormat="1" applyFont="1" applyFill="1" applyBorder="1" applyAlignment="1"/>
    <xf numFmtId="189" fontId="2" fillId="32" borderId="10" xfId="0" applyNumberFormat="1" applyFont="1" applyFill="1" applyBorder="1" applyAlignment="1"/>
    <xf numFmtId="188" fontId="2" fillId="33" borderId="8" xfId="0" applyNumberFormat="1" applyFont="1" applyFill="1" applyBorder="1" applyAlignment="1"/>
    <xf numFmtId="0" fontId="5" fillId="33" borderId="9" xfId="0" applyFont="1" applyFill="1" applyBorder="1" applyAlignment="1"/>
    <xf numFmtId="0" fontId="2" fillId="33" borderId="9" xfId="0" applyFont="1" applyFill="1" applyBorder="1" applyAlignment="1"/>
    <xf numFmtId="0" fontId="2" fillId="33" borderId="10" xfId="0" applyFont="1" applyFill="1" applyBorder="1" applyAlignment="1"/>
    <xf numFmtId="0" fontId="5" fillId="33" borderId="10" xfId="0" applyFont="1" applyFill="1" applyBorder="1" applyAlignment="1">
      <alignment horizontal="center" wrapText="1"/>
    </xf>
    <xf numFmtId="187" fontId="5" fillId="33" borderId="10" xfId="0" applyNumberFormat="1" applyFont="1" applyFill="1" applyBorder="1" applyAlignment="1">
      <alignment horizontal="right"/>
    </xf>
    <xf numFmtId="189" fontId="5" fillId="33" borderId="10" xfId="0" applyNumberFormat="1" applyFont="1" applyFill="1" applyBorder="1" applyAlignment="1">
      <alignment horizontal="right"/>
    </xf>
    <xf numFmtId="189" fontId="2" fillId="33" borderId="10" xfId="0" applyNumberFormat="1" applyFont="1" applyFill="1" applyBorder="1" applyAlignment="1"/>
    <xf numFmtId="190" fontId="2" fillId="33" borderId="8" xfId="0" applyNumberFormat="1" applyFont="1" applyFill="1" applyBorder="1" applyAlignment="1"/>
    <xf numFmtId="190" fontId="2" fillId="33" borderId="9" xfId="0" applyNumberFormat="1" applyFont="1" applyFill="1" applyBorder="1" applyAlignment="1"/>
    <xf numFmtId="188" fontId="2" fillId="33" borderId="9" xfId="0" applyNumberFormat="1" applyFont="1" applyFill="1" applyBorder="1" applyAlignment="1"/>
    <xf numFmtId="0" fontId="5" fillId="23" borderId="9" xfId="0" applyFont="1" applyFill="1" applyBorder="1" applyAlignment="1"/>
    <xf numFmtId="188" fontId="20" fillId="26" borderId="9" xfId="0" applyNumberFormat="1" applyFont="1" applyFill="1" applyBorder="1" applyAlignment="1"/>
    <xf numFmtId="188" fontId="21" fillId="2" borderId="9" xfId="0" applyNumberFormat="1" applyFont="1" applyFill="1" applyBorder="1" applyAlignment="1"/>
    <xf numFmtId="0" fontId="22" fillId="26" borderId="9" xfId="0" applyFont="1" applyFill="1" applyBorder="1" applyAlignment="1"/>
    <xf numFmtId="188" fontId="2" fillId="2" borderId="11" xfId="0" applyNumberFormat="1" applyFont="1" applyFill="1" applyBorder="1" applyAlignment="1"/>
    <xf numFmtId="0" fontId="2" fillId="2" borderId="12" xfId="0" applyFont="1" applyFill="1" applyBorder="1" applyAlignment="1"/>
    <xf numFmtId="188" fontId="2" fillId="2" borderId="12" xfId="0" applyNumberFormat="1" applyFont="1" applyFill="1" applyBorder="1" applyAlignment="1"/>
    <xf numFmtId="0" fontId="7" fillId="0" borderId="12" xfId="0" applyFont="1" applyBorder="1" applyAlignment="1"/>
    <xf numFmtId="0" fontId="2" fillId="2" borderId="13" xfId="0" applyFont="1" applyFill="1" applyBorder="1" applyAlignment="1"/>
    <xf numFmtId="188" fontId="7" fillId="2" borderId="13" xfId="0" applyNumberFormat="1" applyFont="1" applyFill="1" applyBorder="1" applyAlignment="1">
      <alignment horizontal="center"/>
    </xf>
    <xf numFmtId="187" fontId="2" fillId="2" borderId="13" xfId="0" applyNumberFormat="1" applyFont="1" applyFill="1" applyBorder="1" applyAlignment="1"/>
    <xf numFmtId="187" fontId="7" fillId="2" borderId="13" xfId="0" applyNumberFormat="1" applyFont="1" applyFill="1" applyBorder="1" applyAlignment="1">
      <alignment horizontal="right"/>
    </xf>
    <xf numFmtId="187" fontId="2" fillId="33" borderId="10" xfId="0" applyNumberFormat="1" applyFont="1" applyFill="1" applyBorder="1" applyAlignment="1"/>
    <xf numFmtId="0" fontId="5" fillId="26" borderId="10" xfId="0" applyFont="1" applyFill="1" applyBorder="1" applyAlignment="1">
      <alignment horizontal="center"/>
    </xf>
    <xf numFmtId="0" fontId="23" fillId="0" borderId="9" xfId="0" quotePrefix="1" applyFont="1" applyBorder="1" applyAlignment="1"/>
    <xf numFmtId="188" fontId="21" fillId="2" borderId="1" xfId="0" applyNumberFormat="1" applyFont="1" applyFill="1" applyBorder="1" applyAlignment="1"/>
    <xf numFmtId="188" fontId="5" fillId="33" borderId="9" xfId="0" applyNumberFormat="1" applyFont="1" applyFill="1" applyBorder="1" applyAlignment="1"/>
    <xf numFmtId="188" fontId="5" fillId="33" borderId="10" xfId="0" applyNumberFormat="1" applyFont="1" applyFill="1" applyBorder="1" applyAlignment="1">
      <alignment horizontal="center" wrapText="1"/>
    </xf>
    <xf numFmtId="188" fontId="24" fillId="2" borderId="9" xfId="0" applyNumberFormat="1" applyFont="1" applyFill="1" applyBorder="1" applyAlignment="1"/>
    <xf numFmtId="188" fontId="25" fillId="23" borderId="9" xfId="0" quotePrefix="1" applyNumberFormat="1" applyFont="1" applyFill="1" applyBorder="1" applyAlignment="1"/>
    <xf numFmtId="188" fontId="26" fillId="2" borderId="9" xfId="0" applyNumberFormat="1" applyFont="1" applyFill="1" applyBorder="1" applyAlignment="1"/>
    <xf numFmtId="188" fontId="23" fillId="2" borderId="9" xfId="0" applyNumberFormat="1" applyFont="1" applyFill="1" applyBorder="1" applyAlignment="1"/>
    <xf numFmtId="188" fontId="26" fillId="2" borderId="10" xfId="0" applyNumberFormat="1" applyFont="1" applyFill="1" applyBorder="1" applyAlignment="1"/>
    <xf numFmtId="188" fontId="23" fillId="2" borderId="10" xfId="0" applyNumberFormat="1" applyFont="1" applyFill="1" applyBorder="1" applyAlignment="1">
      <alignment horizontal="center"/>
    </xf>
    <xf numFmtId="187" fontId="23" fillId="2" borderId="10" xfId="0" applyNumberFormat="1" applyFont="1" applyFill="1" applyBorder="1" applyAlignment="1">
      <alignment horizontal="right"/>
    </xf>
    <xf numFmtId="189" fontId="23" fillId="2" borderId="10" xfId="0" applyNumberFormat="1" applyFont="1" applyFill="1" applyBorder="1" applyAlignment="1">
      <alignment horizontal="right"/>
    </xf>
    <xf numFmtId="189" fontId="26" fillId="2" borderId="10" xfId="0" applyNumberFormat="1" applyFont="1" applyFill="1" applyBorder="1" applyAlignment="1"/>
    <xf numFmtId="188" fontId="2" fillId="27" borderId="1" xfId="0" applyNumberFormat="1" applyFont="1" applyFill="1" applyBorder="1" applyAlignment="1"/>
    <xf numFmtId="188" fontId="2" fillId="27" borderId="2" xfId="0" applyNumberFormat="1" applyFont="1" applyFill="1" applyBorder="1" applyAlignment="1"/>
    <xf numFmtId="187" fontId="2" fillId="27" borderId="2" xfId="0" applyNumberFormat="1" applyFont="1" applyFill="1" applyBorder="1" applyAlignment="1"/>
    <xf numFmtId="189" fontId="2" fillId="27" borderId="2" xfId="0" applyNumberFormat="1" applyFont="1" applyFill="1" applyBorder="1" applyAlignment="1"/>
    <xf numFmtId="187" fontId="5" fillId="33" borderId="10" xfId="0" applyNumberFormat="1" applyFont="1" applyFill="1" applyBorder="1" applyAlignment="1"/>
    <xf numFmtId="188" fontId="2" fillId="33" borderId="10" xfId="0" applyNumberFormat="1" applyFont="1" applyFill="1" applyBorder="1" applyAlignment="1"/>
    <xf numFmtId="188" fontId="5" fillId="33" borderId="10" xfId="0" applyNumberFormat="1" applyFont="1" applyFill="1" applyBorder="1" applyAlignment="1">
      <alignment horizontal="center"/>
    </xf>
    <xf numFmtId="188" fontId="5" fillId="2" borderId="9" xfId="0" applyNumberFormat="1" applyFont="1" applyFill="1" applyBorder="1" applyAlignment="1">
      <alignment horizontal="center"/>
    </xf>
    <xf numFmtId="188" fontId="5" fillId="2" borderId="10" xfId="0" applyNumberFormat="1" applyFont="1" applyFill="1" applyBorder="1" applyAlignment="1">
      <alignment horizontal="center" wrapText="1"/>
    </xf>
    <xf numFmtId="188" fontId="8" fillId="2" borderId="12" xfId="0" applyNumberFormat="1" applyFont="1" applyFill="1" applyBorder="1" applyAlignment="1"/>
    <xf numFmtId="188" fontId="2" fillId="2" borderId="13" xfId="0" applyNumberFormat="1" applyFont="1" applyFill="1" applyBorder="1" applyAlignment="1"/>
    <xf numFmtId="188" fontId="8" fillId="2" borderId="9" xfId="0" applyNumberFormat="1" applyFont="1" applyFill="1" applyBorder="1" applyAlignment="1"/>
    <xf numFmtId="188" fontId="28" fillId="2" borderId="9" xfId="0" quotePrefix="1" applyNumberFormat="1" applyFont="1" applyFill="1" applyBorder="1" applyAlignment="1"/>
    <xf numFmtId="188" fontId="5" fillId="2" borderId="9" xfId="0" applyNumberFormat="1" applyFont="1" applyFill="1" applyBorder="1" applyAlignment="1"/>
    <xf numFmtId="191" fontId="7" fillId="2" borderId="10" xfId="0" applyNumberFormat="1" applyFont="1" applyFill="1" applyBorder="1" applyAlignment="1">
      <alignment horizontal="right"/>
    </xf>
    <xf numFmtId="188" fontId="7" fillId="2" borderId="9" xfId="0" quotePrefix="1" applyNumberFormat="1" applyFont="1" applyFill="1" applyBorder="1" applyAlignment="1"/>
    <xf numFmtId="188" fontId="29" fillId="2" borderId="9" xfId="0" applyNumberFormat="1" applyFont="1" applyFill="1" applyBorder="1" applyAlignment="1"/>
    <xf numFmtId="187" fontId="5" fillId="2" borderId="10" xfId="0" applyNumberFormat="1" applyFont="1" applyFill="1" applyBorder="1" applyAlignment="1">
      <alignment horizontal="right"/>
    </xf>
    <xf numFmtId="187" fontId="7" fillId="2" borderId="10" xfId="0" applyNumberFormat="1" applyFont="1" applyFill="1" applyBorder="1" applyAlignment="1">
      <alignment horizontal="right"/>
    </xf>
    <xf numFmtId="188" fontId="2" fillId="2" borderId="7" xfId="0" applyNumberFormat="1" applyFont="1" applyFill="1" applyBorder="1" applyAlignment="1"/>
    <xf numFmtId="188" fontId="2" fillId="2" borderId="2" xfId="0" applyNumberFormat="1" applyFont="1" applyFill="1" applyBorder="1" applyAlignment="1"/>
    <xf numFmtId="188" fontId="7" fillId="2" borderId="2" xfId="0" applyNumberFormat="1" applyFont="1" applyFill="1" applyBorder="1" applyAlignment="1">
      <alignment horizontal="center"/>
    </xf>
    <xf numFmtId="0" fontId="31" fillId="2" borderId="9" xfId="0" applyFont="1" applyFill="1" applyBorder="1" applyAlignment="1"/>
    <xf numFmtId="188" fontId="5" fillId="2" borderId="1" xfId="0" applyNumberFormat="1" applyFont="1" applyFill="1" applyBorder="1" applyAlignment="1"/>
    <xf numFmtId="187" fontId="7" fillId="24" borderId="2" xfId="0" applyNumberFormat="1" applyFont="1" applyFill="1" applyBorder="1" applyAlignment="1">
      <alignment horizontal="right"/>
    </xf>
    <xf numFmtId="188" fontId="5" fillId="34" borderId="7" xfId="0" applyNumberFormat="1" applyFont="1" applyFill="1" applyBorder="1" applyAlignment="1"/>
    <xf numFmtId="188" fontId="2" fillId="34" borderId="1" xfId="0" applyNumberFormat="1" applyFont="1" applyFill="1" applyBorder="1" applyAlignment="1"/>
    <xf numFmtId="0" fontId="2" fillId="34" borderId="1" xfId="0" applyFont="1" applyFill="1" applyBorder="1" applyAlignment="1"/>
    <xf numFmtId="187" fontId="2" fillId="34" borderId="1" xfId="0" applyNumberFormat="1" applyFont="1" applyFill="1" applyBorder="1" applyAlignment="1"/>
    <xf numFmtId="189" fontId="2" fillId="34" borderId="1" xfId="0" applyNumberFormat="1" applyFont="1" applyFill="1" applyBorder="1" applyAlignment="1"/>
    <xf numFmtId="189" fontId="2" fillId="34" borderId="2" xfId="0" applyNumberFormat="1" applyFont="1" applyFill="1" applyBorder="1" applyAlignment="1"/>
    <xf numFmtId="189" fontId="2" fillId="35" borderId="2" xfId="0" applyNumberFormat="1" applyFont="1" applyFill="1" applyBorder="1" applyAlignment="1"/>
    <xf numFmtId="188" fontId="5" fillId="36" borderId="8" xfId="0" applyNumberFormat="1" applyFont="1" applyFill="1" applyBorder="1" applyAlignment="1"/>
    <xf numFmtId="188" fontId="2" fillId="36" borderId="9" xfId="0" applyNumberFormat="1" applyFont="1" applyFill="1" applyBorder="1" applyAlignment="1"/>
    <xf numFmtId="0" fontId="2" fillId="36" borderId="9" xfId="0" applyFont="1" applyFill="1" applyBorder="1" applyAlignment="1"/>
    <xf numFmtId="0" fontId="2" fillId="36" borderId="10" xfId="0" applyFont="1" applyFill="1" applyBorder="1" applyAlignment="1"/>
    <xf numFmtId="187" fontId="2" fillId="36" borderId="10" xfId="0" applyNumberFormat="1" applyFont="1" applyFill="1" applyBorder="1" applyAlignment="1"/>
    <xf numFmtId="189" fontId="2" fillId="36" borderId="10" xfId="0" applyNumberFormat="1" applyFont="1" applyFill="1" applyBorder="1" applyAlignment="1"/>
    <xf numFmtId="189" fontId="2" fillId="36" borderId="6" xfId="0" applyNumberFormat="1" applyFont="1" applyFill="1" applyBorder="1" applyAlignment="1"/>
    <xf numFmtId="188" fontId="2" fillId="37" borderId="8" xfId="0" applyNumberFormat="1" applyFont="1" applyFill="1" applyBorder="1" applyAlignment="1"/>
    <xf numFmtId="0" fontId="5" fillId="37" borderId="9" xfId="0" applyFont="1" applyFill="1" applyBorder="1" applyAlignment="1"/>
    <xf numFmtId="188" fontId="2" fillId="37" borderId="9" xfId="0" applyNumberFormat="1" applyFont="1" applyFill="1" applyBorder="1" applyAlignment="1"/>
    <xf numFmtId="0" fontId="2" fillId="37" borderId="9" xfId="0" applyFont="1" applyFill="1" applyBorder="1" applyAlignment="1"/>
    <xf numFmtId="0" fontId="2" fillId="37" borderId="10" xfId="0" applyFont="1" applyFill="1" applyBorder="1" applyAlignment="1"/>
    <xf numFmtId="0" fontId="5" fillId="37" borderId="10" xfId="0" applyFont="1" applyFill="1" applyBorder="1" applyAlignment="1">
      <alignment horizontal="center" wrapText="1"/>
    </xf>
    <xf numFmtId="187" fontId="5" fillId="37" borderId="10" xfId="0" applyNumberFormat="1" applyFont="1" applyFill="1" applyBorder="1" applyAlignment="1">
      <alignment horizontal="right"/>
    </xf>
    <xf numFmtId="189" fontId="5" fillId="37" borderId="10" xfId="0" applyNumberFormat="1" applyFont="1" applyFill="1" applyBorder="1" applyAlignment="1">
      <alignment horizontal="right"/>
    </xf>
    <xf numFmtId="189" fontId="2" fillId="37" borderId="10" xfId="0" applyNumberFormat="1" applyFont="1" applyFill="1" applyBorder="1" applyAlignment="1"/>
    <xf numFmtId="0" fontId="7" fillId="0" borderId="1" xfId="0" applyFont="1" applyBorder="1" applyAlignment="1"/>
    <xf numFmtId="0" fontId="7" fillId="2" borderId="2" xfId="0" applyFont="1" applyFill="1" applyBorder="1" applyAlignment="1">
      <alignment horizontal="center" wrapText="1"/>
    </xf>
    <xf numFmtId="188" fontId="2" fillId="27" borderId="7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2" xfId="0" applyFont="1" applyFill="1" applyBorder="1" applyAlignment="1"/>
    <xf numFmtId="188" fontId="5" fillId="37" borderId="10" xfId="0" applyNumberFormat="1" applyFont="1" applyFill="1" applyBorder="1" applyAlignment="1">
      <alignment horizontal="center" wrapText="1"/>
    </xf>
    <xf numFmtId="187" fontId="5" fillId="37" borderId="10" xfId="0" applyNumberFormat="1" applyFont="1" applyFill="1" applyBorder="1" applyAlignment="1"/>
    <xf numFmtId="0" fontId="5" fillId="2" borderId="9" xfId="0" applyFont="1" applyFill="1" applyBorder="1" applyAlignment="1">
      <alignment horizontal="center"/>
    </xf>
    <xf numFmtId="0" fontId="7" fillId="0" borderId="12" xfId="0" applyFont="1" applyBorder="1" applyAlignment="1"/>
    <xf numFmtId="188" fontId="7" fillId="2" borderId="13" xfId="0" applyNumberFormat="1" applyFont="1" applyFill="1" applyBorder="1" applyAlignment="1">
      <alignment horizontal="center" wrapText="1"/>
    </xf>
    <xf numFmtId="187" fontId="7" fillId="2" borderId="13" xfId="0" applyNumberFormat="1" applyFont="1" applyFill="1" applyBorder="1" applyAlignment="1">
      <alignment horizontal="right"/>
    </xf>
    <xf numFmtId="188" fontId="32" fillId="37" borderId="8" xfId="0" applyNumberFormat="1" applyFont="1" applyFill="1" applyBorder="1" applyAlignment="1"/>
    <xf numFmtId="0" fontId="7" fillId="2" borderId="12" xfId="0" applyFont="1" applyFill="1" applyBorder="1" applyAlignment="1"/>
    <xf numFmtId="0" fontId="7" fillId="2" borderId="13" xfId="0" applyFont="1" applyFill="1" applyBorder="1" applyAlignment="1">
      <alignment horizontal="center"/>
    </xf>
    <xf numFmtId="188" fontId="1" fillId="22" borderId="8" xfId="0" applyNumberFormat="1" applyFont="1" applyFill="1" applyBorder="1" applyAlignment="1"/>
    <xf numFmtId="0" fontId="26" fillId="22" borderId="9" xfId="0" applyFont="1" applyFill="1" applyBorder="1" applyAlignment="1"/>
    <xf numFmtId="190" fontId="26" fillId="22" borderId="9" xfId="0" applyNumberFormat="1" applyFont="1" applyFill="1" applyBorder="1" applyAlignment="1"/>
    <xf numFmtId="188" fontId="26" fillId="22" borderId="9" xfId="0" applyNumberFormat="1" applyFont="1" applyFill="1" applyBorder="1" applyAlignment="1"/>
    <xf numFmtId="187" fontId="26" fillId="22" borderId="9" xfId="0" applyNumberFormat="1" applyFont="1" applyFill="1" applyBorder="1" applyAlignment="1"/>
    <xf numFmtId="189" fontId="26" fillId="22" borderId="9" xfId="0" applyNumberFormat="1" applyFont="1" applyFill="1" applyBorder="1" applyAlignment="1"/>
    <xf numFmtId="189" fontId="26" fillId="22" borderId="10" xfId="0" applyNumberFormat="1" applyFont="1" applyFill="1" applyBorder="1" applyAlignment="1"/>
    <xf numFmtId="190" fontId="26" fillId="12" borderId="8" xfId="0" applyNumberFormat="1" applyFont="1" applyFill="1" applyBorder="1" applyAlignment="1"/>
    <xf numFmtId="0" fontId="1" fillId="12" borderId="9" xfId="0" applyFont="1" applyFill="1" applyBorder="1" applyAlignment="1"/>
    <xf numFmtId="190" fontId="26" fillId="12" borderId="9" xfId="0" applyNumberFormat="1" applyFont="1" applyFill="1" applyBorder="1" applyAlignment="1"/>
    <xf numFmtId="188" fontId="26" fillId="12" borderId="9" xfId="0" applyNumberFormat="1" applyFont="1" applyFill="1" applyBorder="1" applyAlignment="1"/>
    <xf numFmtId="0" fontId="26" fillId="12" borderId="9" xfId="0" applyFont="1" applyFill="1" applyBorder="1" applyAlignment="1"/>
    <xf numFmtId="188" fontId="1" fillId="12" borderId="9" xfId="0" applyNumberFormat="1" applyFont="1" applyFill="1" applyBorder="1" applyAlignment="1">
      <alignment horizontal="center"/>
    </xf>
    <xf numFmtId="187" fontId="26" fillId="12" borderId="9" xfId="0" applyNumberFormat="1" applyFont="1" applyFill="1" applyBorder="1" applyAlignment="1"/>
    <xf numFmtId="187" fontId="26" fillId="12" borderId="10" xfId="0" applyNumberFormat="1" applyFont="1" applyFill="1" applyBorder="1" applyAlignment="1"/>
    <xf numFmtId="189" fontId="26" fillId="12" borderId="10" xfId="0" applyNumberFormat="1" applyFont="1" applyFill="1" applyBorder="1" applyAlignment="1"/>
    <xf numFmtId="188" fontId="26" fillId="12" borderId="8" xfId="0" applyNumberFormat="1" applyFont="1" applyFill="1" applyBorder="1" applyAlignment="1"/>
    <xf numFmtId="188" fontId="23" fillId="12" borderId="9" xfId="0" applyNumberFormat="1" applyFont="1" applyFill="1" applyBorder="1" applyAlignment="1"/>
    <xf numFmtId="0" fontId="26" fillId="12" borderId="10" xfId="0" applyFont="1" applyFill="1" applyBorder="1" applyAlignment="1"/>
    <xf numFmtId="188" fontId="1" fillId="12" borderId="10" xfId="0" applyNumberFormat="1" applyFont="1" applyFill="1" applyBorder="1" applyAlignment="1">
      <alignment horizontal="center"/>
    </xf>
    <xf numFmtId="190" fontId="26" fillId="2" borderId="8" xfId="0" applyNumberFormat="1" applyFont="1" applyFill="1" applyBorder="1" applyAlignment="1"/>
    <xf numFmtId="188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 applyAlignment="1"/>
    <xf numFmtId="188" fontId="1" fillId="0" borderId="10" xfId="0" applyNumberFormat="1" applyFont="1" applyBorder="1" applyAlignment="1">
      <alignment horizontal="center" wrapText="1"/>
    </xf>
    <xf numFmtId="187" fontId="26" fillId="2" borderId="10" xfId="0" applyNumberFormat="1" applyFont="1" applyFill="1" applyBorder="1" applyAlignment="1"/>
    <xf numFmtId="189" fontId="1" fillId="2" borderId="10" xfId="0" applyNumberFormat="1" applyFont="1" applyFill="1" applyBorder="1" applyAlignment="1">
      <alignment horizontal="right"/>
    </xf>
    <xf numFmtId="0" fontId="26" fillId="0" borderId="9" xfId="0" applyFont="1" applyBorder="1" applyAlignment="1"/>
    <xf numFmtId="0" fontId="23" fillId="2" borderId="9" xfId="0" applyFont="1" applyFill="1" applyBorder="1" applyAlignment="1"/>
    <xf numFmtId="0" fontId="26" fillId="2" borderId="9" xfId="0" applyFont="1" applyFill="1" applyBorder="1" applyAlignment="1"/>
    <xf numFmtId="0" fontId="26" fillId="2" borderId="10" xfId="0" applyFont="1" applyFill="1" applyBorder="1" applyAlignment="1"/>
    <xf numFmtId="188" fontId="23" fillId="0" borderId="10" xfId="0" applyNumberFormat="1" applyFont="1" applyBorder="1" applyAlignment="1">
      <alignment horizontal="center" wrapText="1"/>
    </xf>
    <xf numFmtId="0" fontId="34" fillId="2" borderId="9" xfId="0" applyFont="1" applyFill="1" applyBorder="1" applyAlignment="1"/>
    <xf numFmtId="187" fontId="26" fillId="0" borderId="10" xfId="0" applyNumberFormat="1" applyFont="1" applyBorder="1" applyAlignment="1"/>
    <xf numFmtId="189" fontId="26" fillId="0" borderId="10" xfId="0" applyNumberFormat="1" applyFont="1" applyBorder="1" applyAlignment="1"/>
    <xf numFmtId="188" fontId="1" fillId="0" borderId="10" xfId="0" applyNumberFormat="1" applyFont="1" applyBorder="1" applyAlignment="1">
      <alignment horizontal="center"/>
    </xf>
    <xf numFmtId="188" fontId="23" fillId="0" borderId="10" xfId="0" applyNumberFormat="1" applyFont="1" applyBorder="1" applyAlignment="1">
      <alignment horizontal="center"/>
    </xf>
    <xf numFmtId="188" fontId="26" fillId="0" borderId="8" xfId="0" applyNumberFormat="1" applyFont="1" applyBorder="1" applyAlignment="1"/>
    <xf numFmtId="188" fontId="26" fillId="0" borderId="9" xfId="0" applyNumberFormat="1" applyFont="1" applyBorder="1" applyAlignment="1"/>
    <xf numFmtId="0" fontId="35" fillId="23" borderId="9" xfId="0" quotePrefix="1" applyFont="1" applyFill="1" applyBorder="1" applyAlignment="1"/>
    <xf numFmtId="0" fontId="26" fillId="23" borderId="9" xfId="0" applyFont="1" applyFill="1" applyBorder="1" applyAlignment="1"/>
    <xf numFmtId="0" fontId="26" fillId="23" borderId="10" xfId="0" applyFont="1" applyFill="1" applyBorder="1" applyAlignment="1"/>
    <xf numFmtId="188" fontId="26" fillId="0" borderId="10" xfId="0" applyNumberFormat="1" applyFont="1" applyBorder="1" applyAlignment="1"/>
    <xf numFmtId="188" fontId="23" fillId="0" borderId="9" xfId="0" applyNumberFormat="1" applyFont="1" applyBorder="1" applyAlignment="1"/>
    <xf numFmtId="0" fontId="26" fillId="0" borderId="10" xfId="0" applyFont="1" applyBorder="1" applyAlignment="1"/>
    <xf numFmtId="188" fontId="26" fillId="0" borderId="14" xfId="0" applyNumberFormat="1" applyFont="1" applyBorder="1" applyAlignment="1"/>
    <xf numFmtId="188" fontId="26" fillId="0" borderId="15" xfId="0" applyNumberFormat="1" applyFont="1" applyBorder="1" applyAlignment="1"/>
    <xf numFmtId="188" fontId="23" fillId="0" borderId="15" xfId="0" applyNumberFormat="1" applyFont="1" applyBorder="1" applyAlignment="1"/>
    <xf numFmtId="0" fontId="26" fillId="0" borderId="15" xfId="0" applyFont="1" applyBorder="1" applyAlignment="1"/>
    <xf numFmtId="0" fontId="26" fillId="0" borderId="16" xfId="0" applyFont="1" applyBorder="1" applyAlignment="1"/>
    <xf numFmtId="188" fontId="23" fillId="0" borderId="16" xfId="0" applyNumberFormat="1" applyFont="1" applyBorder="1" applyAlignment="1">
      <alignment horizontal="center" wrapText="1"/>
    </xf>
    <xf numFmtId="187" fontId="26" fillId="2" borderId="16" xfId="0" applyNumberFormat="1" applyFont="1" applyFill="1" applyBorder="1" applyAlignment="1"/>
    <xf numFmtId="189" fontId="26" fillId="0" borderId="16" xfId="0" applyNumberFormat="1" applyFont="1" applyBorder="1" applyAlignment="1"/>
    <xf numFmtId="189" fontId="26" fillId="2" borderId="16" xfId="0" applyNumberFormat="1" applyFont="1" applyFill="1" applyBorder="1" applyAlignment="1"/>
    <xf numFmtId="188" fontId="3" fillId="38" borderId="7" xfId="0" applyNumberFormat="1" applyFont="1" applyFill="1" applyBorder="1" applyAlignment="1"/>
    <xf numFmtId="188" fontId="2" fillId="38" borderId="1" xfId="0" applyNumberFormat="1" applyFont="1" applyFill="1" applyBorder="1" applyAlignment="1"/>
    <xf numFmtId="0" fontId="2" fillId="38" borderId="1" xfId="0" applyFont="1" applyFill="1" applyBorder="1" applyAlignment="1"/>
    <xf numFmtId="0" fontId="2" fillId="38" borderId="2" xfId="0" applyFont="1" applyFill="1" applyBorder="1" applyAlignment="1"/>
    <xf numFmtId="188" fontId="2" fillId="38" borderId="2" xfId="0" applyNumberFormat="1" applyFont="1" applyFill="1" applyBorder="1" applyAlignment="1"/>
    <xf numFmtId="187" fontId="2" fillId="38" borderId="2" xfId="0" applyNumberFormat="1" applyFont="1" applyFill="1" applyBorder="1" applyAlignment="1"/>
    <xf numFmtId="189" fontId="2" fillId="38" borderId="2" xfId="0" applyNumberFormat="1" applyFont="1" applyFill="1" applyBorder="1" applyAlignment="1"/>
    <xf numFmtId="188" fontId="2" fillId="39" borderId="9" xfId="0" applyNumberFormat="1" applyFont="1" applyFill="1" applyBorder="1" applyAlignment="1"/>
    <xf numFmtId="188" fontId="5" fillId="39" borderId="9" xfId="0" applyNumberFormat="1" applyFont="1" applyFill="1" applyBorder="1" applyAlignment="1"/>
    <xf numFmtId="0" fontId="2" fillId="39" borderId="9" xfId="0" applyFont="1" applyFill="1" applyBorder="1" applyAlignment="1"/>
    <xf numFmtId="0" fontId="2" fillId="39" borderId="10" xfId="0" applyFont="1" applyFill="1" applyBorder="1" applyAlignment="1"/>
    <xf numFmtId="188" fontId="2" fillId="39" borderId="10" xfId="0" applyNumberFormat="1" applyFont="1" applyFill="1" applyBorder="1" applyAlignment="1"/>
    <xf numFmtId="187" fontId="2" fillId="39" borderId="10" xfId="0" applyNumberFormat="1" applyFont="1" applyFill="1" applyBorder="1" applyAlignment="1"/>
    <xf numFmtId="189" fontId="2" fillId="39" borderId="10" xfId="0" applyNumberFormat="1" applyFont="1" applyFill="1" applyBorder="1" applyAlignment="1"/>
    <xf numFmtId="188" fontId="2" fillId="40" borderId="9" xfId="0" applyNumberFormat="1" applyFont="1" applyFill="1" applyBorder="1" applyAlignment="1"/>
    <xf numFmtId="188" fontId="5" fillId="40" borderId="9" xfId="0" applyNumberFormat="1" applyFont="1" applyFill="1" applyBorder="1" applyAlignment="1"/>
    <xf numFmtId="0" fontId="2" fillId="40" borderId="9" xfId="0" applyFont="1" applyFill="1" applyBorder="1" applyAlignment="1"/>
    <xf numFmtId="0" fontId="2" fillId="40" borderId="10" xfId="0" applyFont="1" applyFill="1" applyBorder="1" applyAlignment="1"/>
    <xf numFmtId="188" fontId="5" fillId="40" borderId="10" xfId="0" applyNumberFormat="1" applyFont="1" applyFill="1" applyBorder="1" applyAlignment="1">
      <alignment horizontal="center"/>
    </xf>
    <xf numFmtId="187" fontId="5" fillId="40" borderId="10" xfId="0" applyNumberFormat="1" applyFont="1" applyFill="1" applyBorder="1" applyAlignment="1">
      <alignment horizontal="right"/>
    </xf>
    <xf numFmtId="189" fontId="5" fillId="40" borderId="10" xfId="0" applyNumberFormat="1" applyFont="1" applyFill="1" applyBorder="1" applyAlignment="1">
      <alignment horizontal="right"/>
    </xf>
    <xf numFmtId="189" fontId="2" fillId="40" borderId="10" xfId="0" applyNumberFormat="1" applyFont="1" applyFill="1" applyBorder="1" applyAlignment="1"/>
    <xf numFmtId="188" fontId="37" fillId="23" borderId="9" xfId="0" applyNumberFormat="1" applyFont="1" applyFill="1" applyBorder="1" applyAlignment="1"/>
    <xf numFmtId="188" fontId="7" fillId="0" borderId="9" xfId="0" applyNumberFormat="1" applyFont="1" applyBorder="1" applyAlignment="1"/>
    <xf numFmtId="188" fontId="5" fillId="0" borderId="10" xfId="0" applyNumberFormat="1" applyFont="1" applyBorder="1" applyAlignment="1">
      <alignment horizontal="center"/>
    </xf>
    <xf numFmtId="188" fontId="2" fillId="40" borderId="10" xfId="0" applyNumberFormat="1" applyFont="1" applyFill="1" applyBorder="1" applyAlignment="1"/>
    <xf numFmtId="187" fontId="2" fillId="40" borderId="10" xfId="0" applyNumberFormat="1" applyFont="1" applyFill="1" applyBorder="1" applyAlignment="1"/>
    <xf numFmtId="188" fontId="7" fillId="2" borderId="9" xfId="0" applyNumberFormat="1" applyFont="1" applyFill="1" applyBorder="1" applyAlignment="1"/>
    <xf numFmtId="0" fontId="38" fillId="23" borderId="9" xfId="0" applyFont="1" applyFill="1" applyBorder="1" applyAlignment="1"/>
    <xf numFmtId="188" fontId="7" fillId="2" borderId="10" xfId="0" applyNumberFormat="1" applyFont="1" applyFill="1" applyBorder="1" applyAlignment="1">
      <alignment horizontal="right"/>
    </xf>
    <xf numFmtId="188" fontId="5" fillId="2" borderId="10" xfId="0" applyNumberFormat="1" applyFont="1" applyFill="1" applyBorder="1" applyAlignment="1">
      <alignment horizontal="right"/>
    </xf>
    <xf numFmtId="192" fontId="2" fillId="2" borderId="10" xfId="0" applyNumberFormat="1" applyFont="1" applyFill="1" applyBorder="1" applyAlignment="1"/>
    <xf numFmtId="188" fontId="39" fillId="0" borderId="1" xfId="0" applyNumberFormat="1" applyFont="1" applyBorder="1" applyAlignment="1"/>
    <xf numFmtId="192" fontId="2" fillId="2" borderId="2" xfId="0" applyNumberFormat="1" applyFont="1" applyFill="1" applyBorder="1" applyAlignment="1"/>
    <xf numFmtId="188" fontId="5" fillId="39" borderId="10" xfId="0" applyNumberFormat="1" applyFont="1" applyFill="1" applyBorder="1" applyAlignment="1">
      <alignment horizontal="center"/>
    </xf>
    <xf numFmtId="187" fontId="5" fillId="39" borderId="10" xfId="0" applyNumberFormat="1" applyFont="1" applyFill="1" applyBorder="1" applyAlignment="1">
      <alignment horizontal="right"/>
    </xf>
    <xf numFmtId="189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 applyAlignment="1"/>
    <xf numFmtId="0" fontId="40" fillId="0" borderId="9" xfId="0" applyFont="1" applyBorder="1" applyAlignment="1"/>
    <xf numFmtId="188" fontId="16" fillId="39" borderId="9" xfId="0" applyNumberFormat="1" applyFont="1" applyFill="1" applyBorder="1" applyAlignment="1"/>
    <xf numFmtId="188" fontId="16" fillId="39" borderId="10" xfId="0" applyNumberFormat="1" applyFont="1" applyFill="1" applyBorder="1" applyAlignment="1">
      <alignment horizontal="center"/>
    </xf>
    <xf numFmtId="189" fontId="16" fillId="39" borderId="10" xfId="0" applyNumberFormat="1" applyFont="1" applyFill="1" applyBorder="1" applyAlignment="1">
      <alignment horizontal="right"/>
    </xf>
    <xf numFmtId="188" fontId="8" fillId="2" borderId="9" xfId="0" applyNumberFormat="1" applyFont="1" applyFill="1" applyBorder="1" applyAlignment="1"/>
    <xf numFmtId="188" fontId="16" fillId="0" borderId="10" xfId="0" applyNumberFormat="1" applyFont="1" applyBorder="1" applyAlignment="1">
      <alignment horizontal="center" wrapText="1"/>
    </xf>
    <xf numFmtId="0" fontId="42" fillId="2" borderId="9" xfId="0" applyFont="1" applyFill="1" applyBorder="1" applyAlignment="1"/>
    <xf numFmtId="188" fontId="16" fillId="0" borderId="10" xfId="0" applyNumberFormat="1" applyFont="1" applyBorder="1" applyAlignment="1">
      <alignment horizontal="center"/>
    </xf>
    <xf numFmtId="188" fontId="8" fillId="0" borderId="10" xfId="0" applyNumberFormat="1" applyFont="1" applyBorder="1" applyAlignment="1">
      <alignment horizontal="center"/>
    </xf>
    <xf numFmtId="0" fontId="43" fillId="23" borderId="9" xfId="0" applyFont="1" applyFill="1" applyBorder="1" applyAlignment="1"/>
    <xf numFmtId="187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 applyAlignment="1"/>
    <xf numFmtId="188" fontId="8" fillId="0" borderId="2" xfId="0" applyNumberFormat="1" applyFont="1" applyBorder="1" applyAlignment="1">
      <alignment horizontal="center" wrapText="1"/>
    </xf>
    <xf numFmtId="187" fontId="8" fillId="2" borderId="2" xfId="0" applyNumberFormat="1" applyFont="1" applyFill="1" applyBorder="1" applyAlignment="1">
      <alignment horizontal="right"/>
    </xf>
    <xf numFmtId="188" fontId="2" fillId="39" borderId="8" xfId="0" applyNumberFormat="1" applyFont="1" applyFill="1" applyBorder="1" applyAlignment="1"/>
    <xf numFmtId="188" fontId="5" fillId="0" borderId="9" xfId="0" applyNumberFormat="1" applyFont="1" applyBorder="1" applyAlignment="1"/>
    <xf numFmtId="188" fontId="7" fillId="0" borderId="13" xfId="0" applyNumberFormat="1" applyFont="1" applyBorder="1" applyAlignment="1">
      <alignment horizontal="center"/>
    </xf>
    <xf numFmtId="187" fontId="2" fillId="0" borderId="13" xfId="0" applyNumberFormat="1" applyFont="1" applyBorder="1" applyAlignment="1"/>
    <xf numFmtId="190" fontId="16" fillId="2" borderId="9" xfId="0" applyNumberFormat="1" applyFont="1" applyFill="1" applyBorder="1" applyAlignment="1">
      <alignment horizontal="center"/>
    </xf>
    <xf numFmtId="188" fontId="8" fillId="0" borderId="9" xfId="0" applyNumberFormat="1" applyFont="1" applyBorder="1" applyAlignment="1"/>
    <xf numFmtId="188" fontId="5" fillId="13" borderId="17" xfId="0" applyNumberFormat="1" applyFont="1" applyFill="1" applyBorder="1" applyAlignment="1"/>
    <xf numFmtId="188" fontId="2" fillId="13" borderId="18" xfId="0" applyNumberFormat="1" applyFont="1" applyFill="1" applyBorder="1" applyAlignment="1"/>
    <xf numFmtId="0" fontId="2" fillId="13" borderId="18" xfId="0" applyFont="1" applyFill="1" applyBorder="1" applyAlignment="1"/>
    <xf numFmtId="0" fontId="2" fillId="13" borderId="19" xfId="0" applyFont="1" applyFill="1" applyBorder="1" applyAlignment="1"/>
    <xf numFmtId="188" fontId="5" fillId="13" borderId="18" xfId="0" applyNumberFormat="1" applyFont="1" applyFill="1" applyBorder="1" applyAlignment="1"/>
    <xf numFmtId="187" fontId="2" fillId="13" borderId="18" xfId="0" applyNumberFormat="1" applyFont="1" applyFill="1" applyBorder="1" applyAlignment="1"/>
    <xf numFmtId="187" fontId="2" fillId="13" borderId="19" xfId="0" applyNumberFormat="1" applyFont="1" applyFill="1" applyBorder="1" applyAlignment="1"/>
    <xf numFmtId="189" fontId="2" fillId="13" borderId="19" xfId="0" applyNumberFormat="1" applyFont="1" applyFill="1" applyBorder="1" applyAlignment="1"/>
    <xf numFmtId="188" fontId="2" fillId="0" borderId="0" xfId="0" applyNumberFormat="1" applyFont="1" applyAlignment="1"/>
    <xf numFmtId="187" fontId="2" fillId="0" borderId="0" xfId="0" applyNumberFormat="1" applyFont="1" applyAlignment="1"/>
    <xf numFmtId="189" fontId="2" fillId="0" borderId="0" xfId="0" applyNumberFormat="1" applyFont="1" applyAlignment="1"/>
    <xf numFmtId="188" fontId="21" fillId="0" borderId="0" xfId="0" applyNumberFormat="1" applyFont="1" applyAlignment="1"/>
    <xf numFmtId="189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89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188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88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88" fontId="30" fillId="2" borderId="1" xfId="0" applyNumberFormat="1" applyFont="1" applyFill="1" applyBorder="1" applyAlignment="1"/>
    <xf numFmtId="0" fontId="33" fillId="2" borderId="9" xfId="0" applyFont="1" applyFill="1" applyBorder="1" applyAlignment="1"/>
    <xf numFmtId="0" fontId="4" fillId="0" borderId="9" xfId="0" applyFont="1" applyBorder="1"/>
    <xf numFmtId="0" fontId="4" fillId="0" borderId="10" xfId="0" applyFont="1" applyBorder="1"/>
    <xf numFmtId="0" fontId="36" fillId="2" borderId="9" xfId="0" applyFont="1" applyFill="1" applyBorder="1" applyAlignment="1"/>
    <xf numFmtId="0" fontId="41" fillId="2" borderId="9" xfId="0" applyFont="1" applyFill="1" applyBorder="1" applyAlignment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 applyAlignment="1"/>
    <xf numFmtId="0" fontId="5" fillId="11" borderId="7" xfId="0" applyFont="1" applyFill="1" applyBorder="1" applyAlignment="1"/>
    <xf numFmtId="0" fontId="5" fillId="17" borderId="7" xfId="0" applyFont="1" applyFill="1" applyBorder="1" applyAlignment="1"/>
    <xf numFmtId="0" fontId="5" fillId="18" borderId="9" xfId="0" applyFont="1" applyFill="1" applyBorder="1" applyAlignment="1"/>
    <xf numFmtId="188" fontId="27" fillId="2" borderId="0" xfId="0" applyNumberFormat="1" applyFont="1" applyFill="1" applyAlignment="1"/>
    <xf numFmtId="0" fontId="5" fillId="0" borderId="0" xfId="0" applyFont="1" applyAlignment="1">
      <alignment horizontal="center"/>
    </xf>
    <xf numFmtId="0" fontId="3" fillId="5" borderId="20" xfId="0" applyFont="1" applyFill="1" applyBorder="1" applyAlignment="1">
      <alignment horizontal="center" vertical="center"/>
    </xf>
    <xf numFmtId="0" fontId="4" fillId="0" borderId="21" xfId="0" applyFont="1" applyBorder="1"/>
    <xf numFmtId="0" fontId="4" fillId="0" borderId="22" xfId="0" applyFont="1" applyBorder="1"/>
    <xf numFmtId="0" fontId="3" fillId="5" borderId="23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188" fontId="3" fillId="3" borderId="24" xfId="0" applyNumberFormat="1" applyFont="1" applyFill="1" applyBorder="1" applyAlignment="1">
      <alignment horizontal="center"/>
    </xf>
    <xf numFmtId="0" fontId="4" fillId="0" borderId="5" xfId="0" applyFont="1" applyBorder="1"/>
    <xf numFmtId="0" fontId="4" fillId="0" borderId="25" xfId="0" applyFont="1" applyBorder="1"/>
    <xf numFmtId="189" fontId="5" fillId="7" borderId="7" xfId="0" applyNumberFormat="1" applyFont="1" applyFill="1" applyBorder="1" applyAlignment="1">
      <alignment horizontal="center" wrapText="1"/>
    </xf>
    <xf numFmtId="0" fontId="4" fillId="0" borderId="26" xfId="0" applyFont="1" applyBorder="1"/>
    <xf numFmtId="189" fontId="5" fillId="6" borderId="27" xfId="0" applyNumberFormat="1" applyFont="1" applyFill="1" applyBorder="1" applyAlignment="1">
      <alignment horizontal="center" vertical="center"/>
    </xf>
    <xf numFmtId="188" fontId="5" fillId="6" borderId="27" xfId="0" applyNumberFormat="1" applyFont="1" applyFill="1" applyBorder="1" applyAlignment="1">
      <alignment horizontal="center" vertical="center" wrapText="1"/>
    </xf>
    <xf numFmtId="189" fontId="5" fillId="7" borderId="26" xfId="0" applyNumberFormat="1" applyFont="1" applyFill="1" applyBorder="1" applyAlignment="1">
      <alignment horizontal="center" wrapText="1"/>
    </xf>
    <xf numFmtId="0" fontId="44" fillId="0" borderId="7" xfId="0" applyFont="1" applyBorder="1"/>
    <xf numFmtId="189" fontId="2" fillId="10" borderId="26" xfId="0" applyNumberFormat="1" applyFont="1" applyFill="1" applyBorder="1" applyAlignment="1"/>
    <xf numFmtId="189" fontId="2" fillId="10" borderId="28" xfId="0" applyNumberFormat="1" applyFont="1" applyFill="1" applyBorder="1" applyAlignment="1"/>
    <xf numFmtId="189" fontId="2" fillId="11" borderId="26" xfId="0" applyNumberFormat="1" applyFont="1" applyFill="1" applyBorder="1" applyAlignment="1"/>
    <xf numFmtId="0" fontId="5" fillId="12" borderId="9" xfId="0" applyFont="1" applyFill="1" applyBorder="1" applyAlignment="1">
      <alignment horizontal="center"/>
    </xf>
    <xf numFmtId="189" fontId="5" fillId="12" borderId="28" xfId="0" applyNumberFormat="1" applyFont="1" applyFill="1" applyBorder="1" applyAlignment="1">
      <alignment horizontal="right"/>
    </xf>
    <xf numFmtId="0" fontId="8" fillId="12" borderId="9" xfId="0" applyFont="1" applyFill="1" applyBorder="1" applyAlignment="1"/>
    <xf numFmtId="0" fontId="8" fillId="12" borderId="10" xfId="0" applyFont="1" applyFill="1" applyBorder="1" applyAlignment="1">
      <alignment horizontal="center"/>
    </xf>
    <xf numFmtId="189" fontId="8" fillId="12" borderId="28" xfId="0" applyNumberFormat="1" applyFont="1" applyFill="1" applyBorder="1" applyAlignment="1">
      <alignment horizontal="right"/>
    </xf>
    <xf numFmtId="189" fontId="7" fillId="12" borderId="28" xfId="0" applyNumberFormat="1" applyFont="1" applyFill="1" applyBorder="1" applyAlignment="1">
      <alignment horizontal="right"/>
    </xf>
    <xf numFmtId="189" fontId="7" fillId="2" borderId="28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89" fontId="8" fillId="2" borderId="28" xfId="0" applyNumberFormat="1" applyFont="1" applyFill="1" applyBorder="1" applyAlignment="1">
      <alignment horizontal="right"/>
    </xf>
    <xf numFmtId="189" fontId="2" fillId="2" borderId="28" xfId="0" applyNumberFormat="1" applyFont="1" applyFill="1" applyBorder="1" applyAlignment="1"/>
    <xf numFmtId="189" fontId="2" fillId="2" borderId="26" xfId="0" applyNumberFormat="1" applyFont="1" applyFill="1" applyBorder="1" applyAlignment="1"/>
    <xf numFmtId="189" fontId="5" fillId="13" borderId="26" xfId="0" applyNumberFormat="1" applyFont="1" applyFill="1" applyBorder="1" applyAlignment="1">
      <alignment horizontal="right"/>
    </xf>
    <xf numFmtId="189" fontId="5" fillId="13" borderId="2" xfId="0" applyNumberFormat="1" applyFont="1" applyFill="1" applyBorder="1" applyAlignment="1">
      <alignment horizontal="right"/>
    </xf>
    <xf numFmtId="0" fontId="2" fillId="15" borderId="8" xfId="0" applyFont="1" applyFill="1" applyBorder="1" applyAlignment="1"/>
    <xf numFmtId="189" fontId="2" fillId="15" borderId="28" xfId="0" applyNumberFormat="1" applyFont="1" applyFill="1" applyBorder="1" applyAlignment="1"/>
    <xf numFmtId="0" fontId="5" fillId="16" borderId="9" xfId="0" applyFont="1" applyFill="1" applyBorder="1" applyAlignment="1">
      <alignment horizontal="center"/>
    </xf>
    <xf numFmtId="0" fontId="6" fillId="16" borderId="9" xfId="0" applyFont="1" applyFill="1" applyBorder="1" applyAlignment="1"/>
    <xf numFmtId="189" fontId="5" fillId="16" borderId="28" xfId="0" applyNumberFormat="1" applyFont="1" applyFill="1" applyBorder="1" applyAlignment="1">
      <alignment horizontal="right"/>
    </xf>
    <xf numFmtId="0" fontId="8" fillId="16" borderId="9" xfId="0" applyFont="1" applyFill="1" applyBorder="1" applyAlignment="1"/>
    <xf numFmtId="0" fontId="8" fillId="16" borderId="10" xfId="0" applyFont="1" applyFill="1" applyBorder="1" applyAlignment="1">
      <alignment horizontal="center"/>
    </xf>
    <xf numFmtId="189" fontId="8" fillId="16" borderId="28" xfId="0" applyNumberFormat="1" applyFont="1" applyFill="1" applyBorder="1" applyAlignment="1">
      <alignment horizontal="right"/>
    </xf>
    <xf numFmtId="189" fontId="7" fillId="16" borderId="28" xfId="0" applyNumberFormat="1" applyFont="1" applyFill="1" applyBorder="1" applyAlignment="1">
      <alignment horizontal="right"/>
    </xf>
    <xf numFmtId="189" fontId="2" fillId="18" borderId="28" xfId="0" applyNumberFormat="1" applyFont="1" applyFill="1" applyBorder="1" applyAlignment="1"/>
    <xf numFmtId="189" fontId="2" fillId="19" borderId="28" xfId="0" applyNumberFormat="1" applyFont="1" applyFill="1" applyBorder="1" applyAlignment="1"/>
    <xf numFmtId="0" fontId="5" fillId="20" borderId="9" xfId="0" applyFont="1" applyFill="1" applyBorder="1" applyAlignment="1">
      <alignment horizontal="center"/>
    </xf>
    <xf numFmtId="0" fontId="6" fillId="20" borderId="9" xfId="0" applyFont="1" applyFill="1" applyBorder="1" applyAlignment="1"/>
    <xf numFmtId="189" fontId="5" fillId="20" borderId="28" xfId="0" applyNumberFormat="1" applyFont="1" applyFill="1" applyBorder="1" applyAlignment="1">
      <alignment horizontal="right"/>
    </xf>
    <xf numFmtId="0" fontId="8" fillId="20" borderId="9" xfId="0" applyFont="1" applyFill="1" applyBorder="1" applyAlignment="1"/>
    <xf numFmtId="0" fontId="8" fillId="20" borderId="10" xfId="0" applyFont="1" applyFill="1" applyBorder="1" applyAlignment="1">
      <alignment horizontal="center"/>
    </xf>
    <xf numFmtId="189" fontId="8" fillId="20" borderId="28" xfId="0" applyNumberFormat="1" applyFont="1" applyFill="1" applyBorder="1" applyAlignment="1">
      <alignment horizontal="right"/>
    </xf>
    <xf numFmtId="189" fontId="7" fillId="20" borderId="28" xfId="0" applyNumberFormat="1" applyFont="1" applyFill="1" applyBorder="1" applyAlignment="1">
      <alignment horizontal="right"/>
    </xf>
    <xf numFmtId="189" fontId="7" fillId="2" borderId="26" xfId="0" applyNumberFormat="1" applyFont="1" applyFill="1" applyBorder="1" applyAlignment="1">
      <alignment horizontal="right"/>
    </xf>
    <xf numFmtId="189" fontId="2" fillId="22" borderId="28" xfId="0" applyNumberFormat="1" applyFont="1" applyFill="1" applyBorder="1" applyAlignment="1"/>
    <xf numFmtId="189" fontId="2" fillId="12" borderId="28" xfId="0" applyNumberFormat="1" applyFont="1" applyFill="1" applyBorder="1" applyAlignment="1"/>
    <xf numFmtId="0" fontId="6" fillId="2" borderId="9" xfId="0" applyFont="1" applyFill="1" applyBorder="1" applyAlignment="1"/>
    <xf numFmtId="189" fontId="5" fillId="2" borderId="28" xfId="0" applyNumberFormat="1" applyFont="1" applyFill="1" applyBorder="1" applyAlignment="1">
      <alignment horizontal="right"/>
    </xf>
    <xf numFmtId="0" fontId="6" fillId="23" borderId="9" xfId="0" quotePrefix="1" applyFont="1" applyFill="1" applyBorder="1" applyAlignment="1"/>
    <xf numFmtId="189" fontId="2" fillId="0" borderId="28" xfId="0" applyNumberFormat="1" applyFont="1" applyBorder="1" applyAlignment="1"/>
    <xf numFmtId="188" fontId="5" fillId="22" borderId="11" xfId="0" applyNumberFormat="1" applyFont="1" applyFill="1" applyBorder="1" applyAlignment="1"/>
    <xf numFmtId="188" fontId="2" fillId="22" borderId="12" xfId="0" applyNumberFormat="1" applyFont="1" applyFill="1" applyBorder="1" applyAlignment="1"/>
    <xf numFmtId="190" fontId="2" fillId="22" borderId="12" xfId="0" applyNumberFormat="1" applyFont="1" applyFill="1" applyBorder="1" applyAlignment="1"/>
    <xf numFmtId="0" fontId="2" fillId="22" borderId="12" xfId="0" applyFont="1" applyFill="1" applyBorder="1" applyAlignment="1"/>
    <xf numFmtId="187" fontId="2" fillId="22" borderId="12" xfId="0" applyNumberFormat="1" applyFont="1" applyFill="1" applyBorder="1" applyAlignment="1"/>
    <xf numFmtId="189" fontId="2" fillId="22" borderId="12" xfId="0" applyNumberFormat="1" applyFont="1" applyFill="1" applyBorder="1" applyAlignment="1"/>
    <xf numFmtId="188" fontId="9" fillId="2" borderId="9" xfId="0" applyNumberFormat="1" applyFont="1" applyFill="1" applyBorder="1" applyAlignment="1"/>
    <xf numFmtId="187" fontId="8" fillId="24" borderId="10" xfId="0" applyNumberFormat="1" applyFont="1" applyFill="1" applyBorder="1" applyAlignment="1">
      <alignment horizontal="right"/>
    </xf>
    <xf numFmtId="188" fontId="8" fillId="0" borderId="2" xfId="0" applyNumberFormat="1" applyFont="1" applyBorder="1" applyAlignment="1">
      <alignment horizontal="center"/>
    </xf>
    <xf numFmtId="187" fontId="8" fillId="24" borderId="2" xfId="0" applyNumberFormat="1" applyFont="1" applyFill="1" applyBorder="1" applyAlignment="1">
      <alignment horizontal="right"/>
    </xf>
    <xf numFmtId="189" fontId="8" fillId="2" borderId="2" xfId="0" applyNumberFormat="1" applyFont="1" applyFill="1" applyBorder="1" applyAlignment="1">
      <alignment horizontal="right"/>
    </xf>
    <xf numFmtId="189" fontId="2" fillId="25" borderId="28" xfId="0" applyNumberFormat="1" applyFont="1" applyFill="1" applyBorder="1" applyAlignment="1"/>
    <xf numFmtId="189" fontId="2" fillId="23" borderId="28" xfId="0" applyNumberFormat="1" applyFont="1" applyFill="1" applyBorder="1" applyAlignment="1"/>
    <xf numFmtId="0" fontId="8" fillId="2" borderId="10" xfId="0" applyFont="1" applyFill="1" applyBorder="1" applyAlignment="1">
      <alignment horizontal="center" wrapText="1"/>
    </xf>
    <xf numFmtId="189" fontId="2" fillId="26" borderId="28" xfId="0" applyNumberFormat="1" applyFont="1" applyFill="1" applyBorder="1" applyAlignment="1"/>
    <xf numFmtId="0" fontId="6" fillId="2" borderId="9" xfId="0" quotePrefix="1" applyFont="1" applyFill="1" applyBorder="1" applyAlignment="1"/>
    <xf numFmtId="189" fontId="5" fillId="24" borderId="10" xfId="0" applyNumberFormat="1" applyFont="1" applyFill="1" applyBorder="1" applyAlignment="1">
      <alignment horizontal="right"/>
    </xf>
    <xf numFmtId="189" fontId="5" fillId="2" borderId="29" xfId="0" applyNumberFormat="1" applyFont="1" applyFill="1" applyBorder="1" applyAlignment="1">
      <alignment horizontal="right"/>
    </xf>
    <xf numFmtId="189" fontId="5" fillId="2" borderId="13" xfId="0" applyNumberFormat="1" applyFont="1" applyFill="1" applyBorder="1" applyAlignment="1">
      <alignment horizontal="right"/>
    </xf>
    <xf numFmtId="189" fontId="7" fillId="24" borderId="10" xfId="0" applyNumberFormat="1" applyFont="1" applyFill="1" applyBorder="1" applyAlignment="1">
      <alignment horizontal="right"/>
    </xf>
    <xf numFmtId="188" fontId="45" fillId="26" borderId="8" xfId="0" applyNumberFormat="1" applyFont="1" applyFill="1" applyBorder="1" applyAlignment="1"/>
    <xf numFmtId="188" fontId="45" fillId="26" borderId="9" xfId="0" applyNumberFormat="1" applyFont="1" applyFill="1" applyBorder="1" applyAlignment="1"/>
    <xf numFmtId="0" fontId="16" fillId="26" borderId="9" xfId="0" applyFont="1" applyFill="1" applyBorder="1" applyAlignment="1"/>
    <xf numFmtId="0" fontId="45" fillId="26" borderId="9" xfId="0" applyFont="1" applyFill="1" applyBorder="1" applyAlignment="1"/>
    <xf numFmtId="0" fontId="45" fillId="26" borderId="10" xfId="0" applyFont="1" applyFill="1" applyBorder="1" applyAlignment="1"/>
    <xf numFmtId="0" fontId="16" fillId="26" borderId="10" xfId="0" applyFont="1" applyFill="1" applyBorder="1" applyAlignment="1">
      <alignment horizontal="center" wrapText="1"/>
    </xf>
    <xf numFmtId="187" fontId="16" fillId="26" borderId="10" xfId="0" applyNumberFormat="1" applyFont="1" applyFill="1" applyBorder="1" applyAlignment="1">
      <alignment horizontal="right"/>
    </xf>
    <xf numFmtId="189" fontId="16" fillId="26" borderId="10" xfId="0" applyNumberFormat="1" applyFont="1" applyFill="1" applyBorder="1" applyAlignment="1">
      <alignment horizontal="right"/>
    </xf>
    <xf numFmtId="190" fontId="45" fillId="2" borderId="8" xfId="0" applyNumberFormat="1" applyFont="1" applyFill="1" applyBorder="1" applyAlignment="1"/>
    <xf numFmtId="0" fontId="45" fillId="2" borderId="9" xfId="0" applyFont="1" applyFill="1" applyBorder="1" applyAlignment="1"/>
    <xf numFmtId="0" fontId="16" fillId="2" borderId="9" xfId="0" applyFont="1" applyFill="1" applyBorder="1" applyAlignment="1"/>
    <xf numFmtId="0" fontId="18" fillId="2" borderId="9" xfId="0" applyFont="1" applyFill="1" applyBorder="1" applyAlignment="1"/>
    <xf numFmtId="0" fontId="45" fillId="2" borderId="10" xfId="0" applyFont="1" applyFill="1" applyBorder="1" applyAlignment="1"/>
    <xf numFmtId="187" fontId="45" fillId="0" borderId="10" xfId="0" applyNumberFormat="1" applyFont="1" applyBorder="1" applyAlignment="1"/>
    <xf numFmtId="189" fontId="45" fillId="0" borderId="10" xfId="0" applyNumberFormat="1" applyFont="1" applyBorder="1" applyAlignment="1"/>
    <xf numFmtId="189" fontId="16" fillId="2" borderId="28" xfId="0" applyNumberFormat="1" applyFont="1" applyFill="1" applyBorder="1" applyAlignment="1">
      <alignment horizontal="right"/>
    </xf>
    <xf numFmtId="189" fontId="16" fillId="2" borderId="10" xfId="0" applyNumberFormat="1" applyFont="1" applyFill="1" applyBorder="1" applyAlignment="1">
      <alignment horizontal="right"/>
    </xf>
    <xf numFmtId="189" fontId="32" fillId="2" borderId="10" xfId="0" applyNumberFormat="1" applyFont="1" applyFill="1" applyBorder="1" applyAlignment="1"/>
    <xf numFmtId="188" fontId="45" fillId="2" borderId="9" xfId="0" applyNumberFormat="1" applyFont="1" applyFill="1" applyBorder="1" applyAlignment="1"/>
    <xf numFmtId="189" fontId="7" fillId="2" borderId="29" xfId="0" applyNumberFormat="1" applyFont="1" applyFill="1" applyBorder="1" applyAlignment="1">
      <alignment horizontal="right"/>
    </xf>
    <xf numFmtId="188" fontId="45" fillId="2" borderId="8" xfId="0" applyNumberFormat="1" applyFont="1" applyFill="1" applyBorder="1" applyAlignment="1"/>
    <xf numFmtId="187" fontId="45" fillId="2" borderId="10" xfId="0" applyNumberFormat="1" applyFont="1" applyFill="1" applyBorder="1" applyAlignment="1"/>
    <xf numFmtId="189" fontId="45" fillId="2" borderId="10" xfId="0" applyNumberFormat="1" applyFont="1" applyFill="1" applyBorder="1" applyAlignment="1"/>
    <xf numFmtId="188" fontId="45" fillId="0" borderId="8" xfId="0" applyNumberFormat="1" applyFont="1" applyBorder="1" applyAlignment="1"/>
    <xf numFmtId="188" fontId="45" fillId="0" borderId="9" xfId="0" applyNumberFormat="1" applyFont="1" applyBorder="1" applyAlignment="1"/>
    <xf numFmtId="188" fontId="16" fillId="2" borderId="9" xfId="0" applyNumberFormat="1" applyFont="1" applyFill="1" applyBorder="1" applyAlignment="1"/>
    <xf numFmtId="0" fontId="18" fillId="23" borderId="9" xfId="0" quotePrefix="1" applyFont="1" applyFill="1" applyBorder="1" applyAlignment="1"/>
    <xf numFmtId="0" fontId="45" fillId="23" borderId="9" xfId="0" applyFont="1" applyFill="1" applyBorder="1" applyAlignment="1"/>
    <xf numFmtId="0" fontId="45" fillId="23" borderId="10" xfId="0" applyFont="1" applyFill="1" applyBorder="1" applyAlignment="1"/>
    <xf numFmtId="0" fontId="45" fillId="0" borderId="10" xfId="0" applyFont="1" applyBorder="1" applyAlignment="1"/>
    <xf numFmtId="0" fontId="45" fillId="0" borderId="9" xfId="0" applyFont="1" applyBorder="1" applyAlignment="1"/>
    <xf numFmtId="0" fontId="8" fillId="0" borderId="10" xfId="0" applyFont="1" applyBorder="1" applyAlignment="1">
      <alignment horizontal="center"/>
    </xf>
    <xf numFmtId="188" fontId="8" fillId="0" borderId="9" xfId="0" quotePrefix="1" applyNumberFormat="1" applyFont="1" applyBorder="1" applyAlignment="1"/>
    <xf numFmtId="0" fontId="8" fillId="0" borderId="9" xfId="0" quotePrefix="1" applyFont="1" applyBorder="1" applyAlignment="1"/>
    <xf numFmtId="0" fontId="18" fillId="2" borderId="9" xfId="0" quotePrefix="1" applyFont="1" applyFill="1" applyBorder="1" applyAlignment="1"/>
    <xf numFmtId="188" fontId="1" fillId="25" borderId="8" xfId="0" applyNumberFormat="1" applyFont="1" applyFill="1" applyBorder="1" applyAlignment="1"/>
    <xf numFmtId="188" fontId="26" fillId="25" borderId="9" xfId="0" applyNumberFormat="1" applyFont="1" applyFill="1" applyBorder="1" applyAlignment="1"/>
    <xf numFmtId="0" fontId="26" fillId="25" borderId="9" xfId="0" applyFont="1" applyFill="1" applyBorder="1" applyAlignment="1"/>
    <xf numFmtId="0" fontId="26" fillId="25" borderId="10" xfId="0" applyFont="1" applyFill="1" applyBorder="1" applyAlignment="1"/>
    <xf numFmtId="187" fontId="26" fillId="25" borderId="10" xfId="0" applyNumberFormat="1" applyFont="1" applyFill="1" applyBorder="1" applyAlignment="1"/>
    <xf numFmtId="189" fontId="26" fillId="25" borderId="10" xfId="0" applyNumberFormat="1" applyFont="1" applyFill="1" applyBorder="1" applyAlignment="1"/>
    <xf numFmtId="189" fontId="26" fillId="25" borderId="28" xfId="0" applyNumberFormat="1" applyFont="1" applyFill="1" applyBorder="1" applyAlignment="1"/>
    <xf numFmtId="188" fontId="26" fillId="23" borderId="8" xfId="0" applyNumberFormat="1" applyFont="1" applyFill="1" applyBorder="1" applyAlignment="1"/>
    <xf numFmtId="0" fontId="1" fillId="23" borderId="9" xfId="0" applyFont="1" applyFill="1" applyBorder="1" applyAlignment="1"/>
    <xf numFmtId="188" fontId="26" fillId="23" borderId="9" xfId="0" applyNumberFormat="1" applyFont="1" applyFill="1" applyBorder="1" applyAlignment="1"/>
    <xf numFmtId="0" fontId="1" fillId="23" borderId="10" xfId="0" applyFont="1" applyFill="1" applyBorder="1" applyAlignment="1">
      <alignment horizontal="center" wrapText="1"/>
    </xf>
    <xf numFmtId="187" fontId="1" fillId="23" borderId="10" xfId="0" applyNumberFormat="1" applyFont="1" applyFill="1" applyBorder="1" applyAlignment="1"/>
    <xf numFmtId="189" fontId="1" fillId="23" borderId="10" xfId="0" applyNumberFormat="1" applyFont="1" applyFill="1" applyBorder="1" applyAlignment="1">
      <alignment horizontal="right"/>
    </xf>
    <xf numFmtId="189" fontId="26" fillId="23" borderId="28" xfId="0" applyNumberFormat="1" applyFont="1" applyFill="1" applyBorder="1" applyAlignment="1"/>
    <xf numFmtId="189" fontId="26" fillId="23" borderId="10" xfId="0" applyNumberFormat="1" applyFont="1" applyFill="1" applyBorder="1" applyAlignment="1"/>
    <xf numFmtId="188" fontId="1" fillId="2" borderId="10" xfId="0" applyNumberFormat="1" applyFont="1" applyFill="1" applyBorder="1" applyAlignment="1">
      <alignment horizontal="center"/>
    </xf>
    <xf numFmtId="189" fontId="1" fillId="2" borderId="28" xfId="0" applyNumberFormat="1" applyFont="1" applyFill="1" applyBorder="1" applyAlignment="1">
      <alignment horizontal="right"/>
    </xf>
    <xf numFmtId="189" fontId="23" fillId="2" borderId="28" xfId="0" applyNumberFormat="1" applyFont="1" applyFill="1" applyBorder="1" applyAlignment="1">
      <alignment horizontal="right"/>
    </xf>
    <xf numFmtId="0" fontId="46" fillId="2" borderId="9" xfId="0" applyFont="1" applyFill="1" applyBorder="1" applyAlignment="1"/>
    <xf numFmtId="0" fontId="33" fillId="23" borderId="9" xfId="0" quotePrefix="1" applyFont="1" applyFill="1" applyBorder="1" applyAlignment="1"/>
    <xf numFmtId="189" fontId="26" fillId="0" borderId="28" xfId="0" applyNumberFormat="1" applyFont="1" applyBorder="1" applyAlignment="1"/>
    <xf numFmtId="46" fontId="2" fillId="2" borderId="11" xfId="0" applyNumberFormat="1" applyFont="1" applyFill="1" applyBorder="1" applyAlignment="1"/>
    <xf numFmtId="0" fontId="7" fillId="2" borderId="12" xfId="0" quotePrefix="1" applyFont="1" applyFill="1" applyBorder="1" applyAlignment="1"/>
    <xf numFmtId="0" fontId="8" fillId="0" borderId="1" xfId="0" quotePrefix="1" applyFont="1" applyBorder="1" applyAlignment="1"/>
    <xf numFmtId="0" fontId="8" fillId="2" borderId="2" xfId="0" applyFont="1" applyFill="1" applyBorder="1" applyAlignment="1">
      <alignment horizontal="center"/>
    </xf>
    <xf numFmtId="189" fontId="8" fillId="0" borderId="2" xfId="0" applyNumberFormat="1" applyFont="1" applyBorder="1" applyAlignment="1">
      <alignment horizontal="right"/>
    </xf>
    <xf numFmtId="189" fontId="2" fillId="0" borderId="26" xfId="0" applyNumberFormat="1" applyFont="1" applyBorder="1" applyAlignment="1"/>
    <xf numFmtId="189" fontId="2" fillId="29" borderId="28" xfId="0" applyNumberFormat="1" applyFont="1" applyFill="1" applyBorder="1" applyAlignment="1"/>
    <xf numFmtId="189" fontId="2" fillId="30" borderId="28" xfId="0" applyNumberFormat="1" applyFont="1" applyFill="1" applyBorder="1" applyAlignment="1"/>
    <xf numFmtId="188" fontId="2" fillId="10" borderId="7" xfId="0" applyNumberFormat="1" applyFont="1" applyFill="1" applyBorder="1" applyAlignment="1"/>
    <xf numFmtId="188" fontId="2" fillId="10" borderId="1" xfId="0" applyNumberFormat="1" applyFont="1" applyFill="1" applyBorder="1" applyAlignment="1"/>
    <xf numFmtId="188" fontId="1" fillId="31" borderId="24" xfId="0" applyNumberFormat="1" applyFont="1" applyFill="1" applyBorder="1" applyAlignment="1"/>
    <xf numFmtId="189" fontId="2" fillId="32" borderId="28" xfId="0" applyNumberFormat="1" applyFont="1" applyFill="1" applyBorder="1" applyAlignment="1"/>
    <xf numFmtId="189" fontId="2" fillId="33" borderId="28" xfId="0" applyNumberFormat="1" applyFont="1" applyFill="1" applyBorder="1" applyAlignment="1"/>
    <xf numFmtId="0" fontId="7" fillId="10" borderId="9" xfId="0" applyFont="1" applyFill="1" applyBorder="1" applyAlignment="1"/>
    <xf numFmtId="187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189" fontId="7" fillId="10" borderId="10" xfId="0" applyNumberFormat="1" applyFont="1" applyFill="1" applyBorder="1" applyAlignment="1">
      <alignment horizontal="right"/>
    </xf>
    <xf numFmtId="0" fontId="8" fillId="10" borderId="9" xfId="0" applyFont="1" applyFill="1" applyBorder="1" applyAlignment="1"/>
    <xf numFmtId="0" fontId="8" fillId="10" borderId="10" xfId="0" applyFont="1" applyFill="1" applyBorder="1" applyAlignment="1">
      <alignment horizontal="center"/>
    </xf>
    <xf numFmtId="187" fontId="8" fillId="10" borderId="10" xfId="0" applyNumberFormat="1" applyFont="1" applyFill="1" applyBorder="1" applyAlignment="1">
      <alignment horizontal="right"/>
    </xf>
    <xf numFmtId="189" fontId="8" fillId="10" borderId="10" xfId="0" applyNumberFormat="1" applyFont="1" applyFill="1" applyBorder="1" applyAlignment="1">
      <alignment horizontal="right"/>
    </xf>
    <xf numFmtId="187" fontId="5" fillId="33" borderId="29" xfId="0" applyNumberFormat="1" applyFont="1" applyFill="1" applyBorder="1" applyAlignment="1">
      <alignment horizontal="right"/>
    </xf>
    <xf numFmtId="187" fontId="5" fillId="33" borderId="13" xfId="0" applyNumberFormat="1" applyFont="1" applyFill="1" applyBorder="1" applyAlignment="1">
      <alignment horizontal="right"/>
    </xf>
    <xf numFmtId="189" fontId="5" fillId="33" borderId="13" xfId="0" applyNumberFormat="1" applyFont="1" applyFill="1" applyBorder="1" applyAlignment="1">
      <alignment horizontal="right"/>
    </xf>
    <xf numFmtId="188" fontId="2" fillId="26" borderId="11" xfId="0" applyNumberFormat="1" applyFont="1" applyFill="1" applyBorder="1" applyAlignment="1"/>
    <xf numFmtId="0" fontId="2" fillId="26" borderId="12" xfId="0" applyFont="1" applyFill="1" applyBorder="1" applyAlignment="1"/>
    <xf numFmtId="188" fontId="2" fillId="26" borderId="12" xfId="0" applyNumberFormat="1" applyFont="1" applyFill="1" applyBorder="1" applyAlignment="1"/>
    <xf numFmtId="188" fontId="6" fillId="26" borderId="12" xfId="0" applyNumberFormat="1" applyFont="1" applyFill="1" applyBorder="1" applyAlignment="1"/>
    <xf numFmtId="0" fontId="2" fillId="26" borderId="13" xfId="0" applyFont="1" applyFill="1" applyBorder="1" applyAlignment="1"/>
    <xf numFmtId="0" fontId="5" fillId="26" borderId="13" xfId="0" applyFont="1" applyFill="1" applyBorder="1" applyAlignment="1">
      <alignment horizontal="center" wrapText="1"/>
    </xf>
    <xf numFmtId="187" fontId="5" fillId="26" borderId="13" xfId="0" applyNumberFormat="1" applyFont="1" applyFill="1" applyBorder="1" applyAlignment="1">
      <alignment horizontal="right"/>
    </xf>
    <xf numFmtId="189" fontId="5" fillId="26" borderId="13" xfId="0" applyNumberFormat="1" applyFont="1" applyFill="1" applyBorder="1" applyAlignment="1">
      <alignment horizontal="right"/>
    </xf>
    <xf numFmtId="0" fontId="6" fillId="26" borderId="9" xfId="0" applyFont="1" applyFill="1" applyBorder="1" applyAlignment="1"/>
    <xf numFmtId="193" fontId="7" fillId="2" borderId="10" xfId="0" applyNumberFormat="1" applyFont="1" applyFill="1" applyBorder="1" applyAlignment="1">
      <alignment horizontal="right"/>
    </xf>
    <xf numFmtId="190" fontId="2" fillId="33" borderId="17" xfId="0" applyNumberFormat="1" applyFont="1" applyFill="1" applyBorder="1" applyAlignment="1"/>
    <xf numFmtId="188" fontId="5" fillId="33" borderId="18" xfId="0" applyNumberFormat="1" applyFont="1" applyFill="1" applyBorder="1" applyAlignment="1"/>
    <xf numFmtId="190" fontId="2" fillId="33" borderId="18" xfId="0" applyNumberFormat="1" applyFont="1" applyFill="1" applyBorder="1" applyAlignment="1"/>
    <xf numFmtId="188" fontId="2" fillId="33" borderId="18" xfId="0" applyNumberFormat="1" applyFont="1" applyFill="1" applyBorder="1" applyAlignment="1"/>
    <xf numFmtId="0" fontId="2" fillId="33" borderId="18" xfId="0" applyFont="1" applyFill="1" applyBorder="1" applyAlignment="1"/>
    <xf numFmtId="0" fontId="2" fillId="33" borderId="19" xfId="0" applyFont="1" applyFill="1" applyBorder="1" applyAlignment="1"/>
    <xf numFmtId="188" fontId="5" fillId="33" borderId="19" xfId="0" applyNumberFormat="1" applyFont="1" applyFill="1" applyBorder="1" applyAlignment="1">
      <alignment horizontal="center" wrapText="1"/>
    </xf>
    <xf numFmtId="187" fontId="5" fillId="33" borderId="19" xfId="0" applyNumberFormat="1" applyFont="1" applyFill="1" applyBorder="1" applyAlignment="1">
      <alignment horizontal="right"/>
    </xf>
    <xf numFmtId="189" fontId="5" fillId="33" borderId="19" xfId="0" applyNumberFormat="1" applyFont="1" applyFill="1" applyBorder="1" applyAlignment="1">
      <alignment horizontal="right"/>
    </xf>
    <xf numFmtId="188" fontId="6" fillId="2" borderId="9" xfId="0" applyNumberFormat="1" applyFont="1" applyFill="1" applyBorder="1" applyAlignment="1"/>
    <xf numFmtId="188" fontId="6" fillId="23" borderId="9" xfId="0" quotePrefix="1" applyNumberFormat="1" applyFont="1" applyFill="1" applyBorder="1" applyAlignment="1"/>
    <xf numFmtId="188" fontId="26" fillId="2" borderId="8" xfId="0" applyNumberFormat="1" applyFont="1" applyFill="1" applyBorder="1" applyAlignment="1"/>
    <xf numFmtId="189" fontId="26" fillId="2" borderId="28" xfId="0" applyNumberFormat="1" applyFont="1" applyFill="1" applyBorder="1" applyAlignment="1"/>
    <xf numFmtId="189" fontId="2" fillId="27" borderId="28" xfId="0" applyNumberFormat="1" applyFont="1" applyFill="1" applyBorder="1" applyAlignment="1"/>
    <xf numFmtId="189" fontId="2" fillId="27" borderId="26" xfId="0" applyNumberFormat="1" applyFont="1" applyFill="1" applyBorder="1" applyAlignment="1"/>
    <xf numFmtId="188" fontId="6" fillId="2" borderId="0" xfId="0" applyNumberFormat="1" applyFont="1" applyFill="1" applyAlignment="1"/>
    <xf numFmtId="188" fontId="6" fillId="2" borderId="9" xfId="0" quotePrefix="1" applyNumberFormat="1" applyFont="1" applyFill="1" applyBorder="1" applyAlignment="1"/>
    <xf numFmtId="188" fontId="2" fillId="40" borderId="8" xfId="0" applyNumberFormat="1" applyFont="1" applyFill="1" applyBorder="1" applyAlignment="1"/>
    <xf numFmtId="188" fontId="5" fillId="40" borderId="10" xfId="0" applyNumberFormat="1" applyFont="1" applyFill="1" applyBorder="1" applyAlignment="1">
      <alignment horizontal="center" wrapText="1"/>
    </xf>
    <xf numFmtId="187" fontId="5" fillId="40" borderId="29" xfId="0" applyNumberFormat="1" applyFont="1" applyFill="1" applyBorder="1" applyAlignment="1">
      <alignment horizontal="right"/>
    </xf>
    <xf numFmtId="189" fontId="2" fillId="40" borderId="28" xfId="0" applyNumberFormat="1" applyFont="1" applyFill="1" applyBorder="1" applyAlignment="1"/>
    <xf numFmtId="187" fontId="5" fillId="2" borderId="28" xfId="0" applyNumberFormat="1" applyFont="1" applyFill="1" applyBorder="1" applyAlignment="1">
      <alignment horizontal="right"/>
    </xf>
    <xf numFmtId="187" fontId="7" fillId="24" borderId="28" xfId="0" applyNumberFormat="1" applyFont="1" applyFill="1" applyBorder="1" applyAlignment="1">
      <alignment horizontal="right"/>
    </xf>
    <xf numFmtId="191" fontId="7" fillId="24" borderId="28" xfId="0" applyNumberFormat="1" applyFont="1" applyFill="1" applyBorder="1" applyAlignment="1">
      <alignment horizontal="right"/>
    </xf>
    <xf numFmtId="187" fontId="5" fillId="40" borderId="28" xfId="0" applyNumberFormat="1" applyFont="1" applyFill="1" applyBorder="1" applyAlignment="1">
      <alignment horizontal="right"/>
    </xf>
    <xf numFmtId="187" fontId="7" fillId="2" borderId="28" xfId="0" applyNumberFormat="1" applyFont="1" applyFill="1" applyBorder="1" applyAlignment="1">
      <alignment horizontal="right"/>
    </xf>
    <xf numFmtId="188" fontId="29" fillId="40" borderId="9" xfId="0" applyNumberFormat="1" applyFont="1" applyFill="1" applyBorder="1" applyAlignment="1"/>
    <xf numFmtId="188" fontId="2" fillId="41" borderId="8" xfId="0" applyNumberFormat="1" applyFont="1" applyFill="1" applyBorder="1" applyAlignment="1"/>
    <xf numFmtId="188" fontId="2" fillId="41" borderId="9" xfId="0" applyNumberFormat="1" applyFont="1" applyFill="1" applyBorder="1" applyAlignment="1"/>
    <xf numFmtId="188" fontId="5" fillId="41" borderId="9" xfId="0" applyNumberFormat="1" applyFont="1" applyFill="1" applyBorder="1" applyAlignment="1"/>
    <xf numFmtId="188" fontId="2" fillId="41" borderId="10" xfId="0" applyNumberFormat="1" applyFont="1" applyFill="1" applyBorder="1" applyAlignment="1"/>
    <xf numFmtId="188" fontId="5" fillId="41" borderId="10" xfId="0" applyNumberFormat="1" applyFont="1" applyFill="1" applyBorder="1" applyAlignment="1">
      <alignment horizontal="center"/>
    </xf>
    <xf numFmtId="187" fontId="5" fillId="41" borderId="10" xfId="0" applyNumberFormat="1" applyFont="1" applyFill="1" applyBorder="1" applyAlignment="1">
      <alignment horizontal="right"/>
    </xf>
    <xf numFmtId="187" fontId="5" fillId="41" borderId="28" xfId="0" applyNumberFormat="1" applyFont="1" applyFill="1" applyBorder="1" applyAlignment="1">
      <alignment horizontal="right"/>
    </xf>
    <xf numFmtId="189" fontId="5" fillId="41" borderId="10" xfId="0" applyNumberFormat="1" applyFont="1" applyFill="1" applyBorder="1" applyAlignment="1">
      <alignment horizontal="right"/>
    </xf>
    <xf numFmtId="189" fontId="2" fillId="41" borderId="28" xfId="0" applyNumberFormat="1" applyFont="1" applyFill="1" applyBorder="1" applyAlignment="1"/>
    <xf numFmtId="189" fontId="2" fillId="41" borderId="10" xfId="0" applyNumberFormat="1" applyFont="1" applyFill="1" applyBorder="1" applyAlignment="1"/>
    <xf numFmtId="188" fontId="7" fillId="41" borderId="9" xfId="0" applyNumberFormat="1" applyFont="1" applyFill="1" applyBorder="1" applyAlignment="1"/>
    <xf numFmtId="187" fontId="2" fillId="41" borderId="10" xfId="0" applyNumberFormat="1" applyFont="1" applyFill="1" applyBorder="1" applyAlignment="1"/>
    <xf numFmtId="187" fontId="7" fillId="24" borderId="26" xfId="0" applyNumberFormat="1" applyFont="1" applyFill="1" applyBorder="1" applyAlignment="1">
      <alignment horizontal="right"/>
    </xf>
    <xf numFmtId="188" fontId="6" fillId="2" borderId="9" xfId="0" applyNumberFormat="1" applyFont="1" applyFill="1" applyBorder="1" applyAlignment="1"/>
    <xf numFmtId="188" fontId="1" fillId="34" borderId="7" xfId="0" applyNumberFormat="1" applyFont="1" applyFill="1" applyBorder="1" applyAlignment="1"/>
    <xf numFmtId="188" fontId="26" fillId="34" borderId="1" xfId="0" applyNumberFormat="1" applyFont="1" applyFill="1" applyBorder="1" applyAlignment="1"/>
    <xf numFmtId="0" fontId="26" fillId="34" borderId="1" xfId="0" applyFont="1" applyFill="1" applyBorder="1" applyAlignment="1"/>
    <xf numFmtId="187" fontId="26" fillId="34" borderId="1" xfId="0" applyNumberFormat="1" applyFont="1" applyFill="1" applyBorder="1" applyAlignment="1"/>
    <xf numFmtId="189" fontId="26" fillId="34" borderId="1" xfId="0" applyNumberFormat="1" applyFont="1" applyFill="1" applyBorder="1" applyAlignment="1"/>
    <xf numFmtId="189" fontId="2" fillId="35" borderId="26" xfId="0" applyNumberFormat="1" applyFont="1" applyFill="1" applyBorder="1" applyAlignment="1"/>
    <xf numFmtId="188" fontId="1" fillId="36" borderId="8" xfId="0" applyNumberFormat="1" applyFont="1" applyFill="1" applyBorder="1" applyAlignment="1"/>
    <xf numFmtId="188" fontId="26" fillId="36" borderId="9" xfId="0" applyNumberFormat="1" applyFont="1" applyFill="1" applyBorder="1" applyAlignment="1"/>
    <xf numFmtId="0" fontId="26" fillId="36" borderId="9" xfId="0" applyFont="1" applyFill="1" applyBorder="1" applyAlignment="1"/>
    <xf numFmtId="0" fontId="26" fillId="36" borderId="10" xfId="0" applyFont="1" applyFill="1" applyBorder="1" applyAlignment="1"/>
    <xf numFmtId="187" fontId="26" fillId="36" borderId="10" xfId="0" applyNumberFormat="1" applyFont="1" applyFill="1" applyBorder="1" applyAlignment="1"/>
    <xf numFmtId="189" fontId="26" fillId="36" borderId="10" xfId="0" applyNumberFormat="1" applyFont="1" applyFill="1" applyBorder="1" applyAlignment="1"/>
    <xf numFmtId="189" fontId="2" fillId="36" borderId="25" xfId="0" applyNumberFormat="1" applyFont="1" applyFill="1" applyBorder="1" applyAlignment="1"/>
    <xf numFmtId="188" fontId="26" fillId="37" borderId="8" xfId="0" applyNumberFormat="1" applyFont="1" applyFill="1" applyBorder="1" applyAlignment="1"/>
    <xf numFmtId="0" fontId="1" fillId="37" borderId="9" xfId="0" applyFont="1" applyFill="1" applyBorder="1" applyAlignment="1"/>
    <xf numFmtId="188" fontId="26" fillId="37" borderId="9" xfId="0" applyNumberFormat="1" applyFont="1" applyFill="1" applyBorder="1" applyAlignment="1"/>
    <xf numFmtId="0" fontId="26" fillId="37" borderId="9" xfId="0" applyFont="1" applyFill="1" applyBorder="1" applyAlignment="1"/>
    <xf numFmtId="0" fontId="26" fillId="37" borderId="10" xfId="0" applyFont="1" applyFill="1" applyBorder="1" applyAlignment="1"/>
    <xf numFmtId="0" fontId="1" fillId="37" borderId="10" xfId="0" applyFont="1" applyFill="1" applyBorder="1" applyAlignment="1">
      <alignment horizontal="center" wrapText="1"/>
    </xf>
    <xf numFmtId="187" fontId="1" fillId="37" borderId="10" xfId="0" applyNumberFormat="1" applyFont="1" applyFill="1" applyBorder="1" applyAlignment="1">
      <alignment horizontal="right"/>
    </xf>
    <xf numFmtId="189" fontId="1" fillId="37" borderId="10" xfId="0" applyNumberFormat="1" applyFont="1" applyFill="1" applyBorder="1" applyAlignment="1">
      <alignment horizontal="right"/>
    </xf>
    <xf numFmtId="189" fontId="2" fillId="37" borderId="28" xfId="0" applyNumberFormat="1" applyFont="1" applyFill="1" applyBorder="1" applyAlignment="1"/>
    <xf numFmtId="0" fontId="23" fillId="0" borderId="9" xfId="0" applyFont="1" applyBorder="1" applyAlignment="1"/>
    <xf numFmtId="0" fontId="23" fillId="2" borderId="10" xfId="0" applyFont="1" applyFill="1" applyBorder="1" applyAlignment="1">
      <alignment horizontal="center" wrapText="1"/>
    </xf>
    <xf numFmtId="187" fontId="23" fillId="24" borderId="10" xfId="0" applyNumberFormat="1" applyFont="1" applyFill="1" applyBorder="1" applyAlignment="1">
      <alignment horizontal="right"/>
    </xf>
    <xf numFmtId="188" fontId="2" fillId="27" borderId="11" xfId="0" applyNumberFormat="1" applyFont="1" applyFill="1" applyBorder="1" applyAlignment="1"/>
    <xf numFmtId="188" fontId="2" fillId="27" borderId="12" xfId="0" applyNumberFormat="1" applyFont="1" applyFill="1" applyBorder="1" applyAlignment="1"/>
    <xf numFmtId="0" fontId="2" fillId="27" borderId="12" xfId="0" applyFont="1" applyFill="1" applyBorder="1" applyAlignment="1"/>
    <xf numFmtId="0" fontId="2" fillId="27" borderId="13" xfId="0" applyFont="1" applyFill="1" applyBorder="1" applyAlignment="1"/>
    <xf numFmtId="188" fontId="2" fillId="27" borderId="13" xfId="0" applyNumberFormat="1" applyFont="1" applyFill="1" applyBorder="1" applyAlignment="1"/>
    <xf numFmtId="187" fontId="2" fillId="27" borderId="13" xfId="0" applyNumberFormat="1" applyFont="1" applyFill="1" applyBorder="1" applyAlignment="1"/>
    <xf numFmtId="189" fontId="2" fillId="27" borderId="13" xfId="0" applyNumberFormat="1" applyFont="1" applyFill="1" applyBorder="1" applyAlignment="1"/>
    <xf numFmtId="188" fontId="2" fillId="27" borderId="5" xfId="0" applyNumberFormat="1" applyFont="1" applyFill="1" applyBorder="1" applyAlignment="1"/>
    <xf numFmtId="188" fontId="2" fillId="27" borderId="0" xfId="0" applyNumberFormat="1" applyFont="1" applyFill="1" applyAlignment="1"/>
    <xf numFmtId="0" fontId="2" fillId="27" borderId="0" xfId="0" applyFont="1" applyFill="1" applyAlignment="1"/>
    <xf numFmtId="0" fontId="2" fillId="27" borderId="6" xfId="0" applyFont="1" applyFill="1" applyBorder="1" applyAlignment="1"/>
    <xf numFmtId="188" fontId="2" fillId="27" borderId="6" xfId="0" applyNumberFormat="1" applyFont="1" applyFill="1" applyBorder="1" applyAlignment="1"/>
    <xf numFmtId="187" fontId="2" fillId="27" borderId="6" xfId="0" applyNumberFormat="1" applyFont="1" applyFill="1" applyBorder="1" applyAlignment="1"/>
    <xf numFmtId="189" fontId="2" fillId="27" borderId="6" xfId="0" applyNumberFormat="1" applyFont="1" applyFill="1" applyBorder="1" applyAlignment="1"/>
    <xf numFmtId="188" fontId="2" fillId="37" borderId="11" xfId="0" applyNumberFormat="1" applyFont="1" applyFill="1" applyBorder="1" applyAlignment="1"/>
    <xf numFmtId="0" fontId="5" fillId="37" borderId="12" xfId="0" applyFont="1" applyFill="1" applyBorder="1" applyAlignment="1"/>
    <xf numFmtId="188" fontId="2" fillId="37" borderId="12" xfId="0" applyNumberFormat="1" applyFont="1" applyFill="1" applyBorder="1" applyAlignment="1"/>
    <xf numFmtId="0" fontId="2" fillId="37" borderId="12" xfId="0" applyFont="1" applyFill="1" applyBorder="1" applyAlignment="1"/>
    <xf numFmtId="0" fontId="2" fillId="37" borderId="13" xfId="0" applyFont="1" applyFill="1" applyBorder="1" applyAlignment="1"/>
    <xf numFmtId="188" fontId="5" fillId="37" borderId="13" xfId="0" applyNumberFormat="1" applyFont="1" applyFill="1" applyBorder="1" applyAlignment="1">
      <alignment horizontal="center" wrapText="1"/>
    </xf>
    <xf numFmtId="187" fontId="2" fillId="37" borderId="13" xfId="0" applyNumberFormat="1" applyFont="1" applyFill="1" applyBorder="1" applyAlignment="1"/>
    <xf numFmtId="189" fontId="5" fillId="37" borderId="13" xfId="0" applyNumberFormat="1" applyFont="1" applyFill="1" applyBorder="1" applyAlignment="1">
      <alignment horizontal="right"/>
    </xf>
    <xf numFmtId="187" fontId="2" fillId="37" borderId="10" xfId="0" applyNumberFormat="1" applyFont="1" applyFill="1" applyBorder="1" applyAlignment="1"/>
    <xf numFmtId="188" fontId="16" fillId="22" borderId="8" xfId="0" applyNumberFormat="1" applyFont="1" applyFill="1" applyBorder="1" applyAlignment="1"/>
    <xf numFmtId="0" fontId="16" fillId="12" borderId="9" xfId="0" applyFont="1" applyFill="1" applyBorder="1" applyAlignment="1"/>
    <xf numFmtId="188" fontId="16" fillId="12" borderId="9" xfId="0" applyNumberFormat="1" applyFont="1" applyFill="1" applyBorder="1" applyAlignment="1">
      <alignment horizontal="center"/>
    </xf>
    <xf numFmtId="188" fontId="2" fillId="12" borderId="8" xfId="0" applyNumberFormat="1" applyFont="1" applyFill="1" applyBorder="1" applyAlignment="1"/>
    <xf numFmtId="188" fontId="8" fillId="12" borderId="9" xfId="0" applyNumberFormat="1" applyFont="1" applyFill="1" applyBorder="1" applyAlignment="1"/>
    <xf numFmtId="188" fontId="16" fillId="12" borderId="10" xfId="0" applyNumberFormat="1" applyFont="1" applyFill="1" applyBorder="1" applyAlignment="1">
      <alignment horizontal="center"/>
    </xf>
    <xf numFmtId="0" fontId="18" fillId="2" borderId="9" xfId="0" applyFont="1" applyFill="1" applyBorder="1" applyAlignment="1"/>
    <xf numFmtId="188" fontId="2" fillId="0" borderId="14" xfId="0" applyNumberFormat="1" applyFont="1" applyBorder="1" applyAlignment="1"/>
    <xf numFmtId="188" fontId="2" fillId="0" borderId="15" xfId="0" applyNumberFormat="1" applyFont="1" applyBorder="1" applyAlignment="1"/>
    <xf numFmtId="188" fontId="8" fillId="0" borderId="15" xfId="0" applyNumberFormat="1" applyFont="1" applyBorder="1" applyAlignment="1"/>
    <xf numFmtId="0" fontId="2" fillId="0" borderId="15" xfId="0" applyFont="1" applyBorder="1" applyAlignment="1"/>
    <xf numFmtId="0" fontId="2" fillId="0" borderId="16" xfId="0" applyFont="1" applyBorder="1" applyAlignment="1"/>
    <xf numFmtId="188" fontId="8" fillId="0" borderId="16" xfId="0" applyNumberFormat="1" applyFont="1" applyBorder="1" applyAlignment="1">
      <alignment horizontal="center" wrapText="1"/>
    </xf>
    <xf numFmtId="187" fontId="2" fillId="2" borderId="16" xfId="0" applyNumberFormat="1" applyFont="1" applyFill="1" applyBorder="1" applyAlignment="1"/>
    <xf numFmtId="189" fontId="2" fillId="0" borderId="16" xfId="0" applyNumberFormat="1" applyFont="1" applyBorder="1" applyAlignment="1"/>
    <xf numFmtId="189" fontId="2" fillId="2" borderId="30" xfId="0" applyNumberFormat="1" applyFont="1" applyFill="1" applyBorder="1" applyAlignment="1"/>
    <xf numFmtId="189" fontId="2" fillId="2" borderId="16" xfId="0" applyNumberFormat="1" applyFont="1" applyFill="1" applyBorder="1" applyAlignment="1"/>
    <xf numFmtId="189" fontId="2" fillId="38" borderId="26" xfId="0" applyNumberFormat="1" applyFont="1" applyFill="1" applyBorder="1" applyAlignment="1"/>
    <xf numFmtId="189" fontId="2" fillId="39" borderId="28" xfId="0" applyNumberFormat="1" applyFont="1" applyFill="1" applyBorder="1" applyAlignment="1"/>
    <xf numFmtId="0" fontId="6" fillId="2" borderId="9" xfId="0" applyFont="1" applyFill="1" applyBorder="1" applyAlignment="1"/>
    <xf numFmtId="188" fontId="6" fillId="23" borderId="9" xfId="0" applyNumberFormat="1" applyFont="1" applyFill="1" applyBorder="1" applyAlignment="1"/>
    <xf numFmtId="0" fontId="6" fillId="23" borderId="9" xfId="0" applyFont="1" applyFill="1" applyBorder="1" applyAlignment="1"/>
    <xf numFmtId="192" fontId="2" fillId="2" borderId="28" xfId="0" applyNumberFormat="1" applyFont="1" applyFill="1" applyBorder="1" applyAlignment="1"/>
    <xf numFmtId="192" fontId="2" fillId="2" borderId="26" xfId="0" applyNumberFormat="1" applyFont="1" applyFill="1" applyBorder="1" applyAlignment="1"/>
    <xf numFmtId="188" fontId="7" fillId="39" borderId="10" xfId="0" applyNumberFormat="1" applyFont="1" applyFill="1" applyBorder="1" applyAlignment="1">
      <alignment horizontal="center"/>
    </xf>
    <xf numFmtId="187" fontId="7" fillId="39" borderId="10" xfId="0" applyNumberFormat="1" applyFont="1" applyFill="1" applyBorder="1" applyAlignment="1">
      <alignment horizontal="right"/>
    </xf>
    <xf numFmtId="0" fontId="18" fillId="23" borderId="9" xfId="0" applyFont="1" applyFill="1" applyBorder="1" applyAlignment="1"/>
    <xf numFmtId="188" fontId="1" fillId="0" borderId="9" xfId="0" applyNumberFormat="1" applyFont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/>
    <xf numFmtId="0" fontId="21" fillId="0" borderId="0" xfId="0" applyFont="1" applyAlignment="1"/>
    <xf numFmtId="189" fontId="26" fillId="35" borderId="26" xfId="0" applyNumberFormat="1" applyFont="1" applyFill="1" applyBorder="1" applyAlignment="1"/>
    <xf numFmtId="189" fontId="26" fillId="35" borderId="2" xfId="0" applyNumberFormat="1" applyFont="1" applyFill="1" applyBorder="1" applyAlignment="1"/>
    <xf numFmtId="188" fontId="16" fillId="36" borderId="8" xfId="0" applyNumberFormat="1" applyFont="1" applyFill="1" applyBorder="1" applyAlignment="1"/>
    <xf numFmtId="0" fontId="16" fillId="37" borderId="9" xfId="0" applyFont="1" applyFill="1" applyBorder="1" applyAlignment="1"/>
    <xf numFmtId="0" fontId="16" fillId="37" borderId="10" xfId="0" applyFont="1" applyFill="1" applyBorder="1" applyAlignment="1">
      <alignment horizontal="center" wrapText="1"/>
    </xf>
    <xf numFmtId="187" fontId="16" fillId="37" borderId="10" xfId="0" applyNumberFormat="1" applyFont="1" applyFill="1" applyBorder="1" applyAlignment="1">
      <alignment horizontal="right"/>
    </xf>
    <xf numFmtId="189" fontId="16" fillId="37" borderId="10" xfId="0" applyNumberFormat="1" applyFont="1" applyFill="1" applyBorder="1" applyAlignment="1">
      <alignment horizontal="right"/>
    </xf>
    <xf numFmtId="188" fontId="16" fillId="2" borderId="10" xfId="0" applyNumberFormat="1" applyFont="1" applyFill="1" applyBorder="1" applyAlignment="1">
      <alignment horizontal="center"/>
    </xf>
    <xf numFmtId="0" fontId="47" fillId="2" borderId="9" xfId="0" applyFont="1" applyFill="1" applyBorder="1" applyAlignment="1"/>
    <xf numFmtId="0" fontId="8" fillId="0" borderId="1" xfId="0" applyFont="1" applyBorder="1" applyAlignment="1"/>
    <xf numFmtId="0" fontId="8" fillId="2" borderId="2" xfId="0" applyFont="1" applyFill="1" applyBorder="1" applyAlignment="1">
      <alignment horizontal="center" wrapText="1"/>
    </xf>
    <xf numFmtId="188" fontId="45" fillId="0" borderId="7" xfId="0" applyNumberFormat="1" applyFont="1" applyBorder="1" applyAlignment="1"/>
    <xf numFmtId="188" fontId="45" fillId="0" borderId="1" xfId="0" applyNumberFormat="1" applyFont="1" applyBorder="1" applyAlignment="1"/>
    <xf numFmtId="0" fontId="45" fillId="0" borderId="1" xfId="0" applyFont="1" applyBorder="1" applyAlignment="1"/>
    <xf numFmtId="0" fontId="45" fillId="0" borderId="2" xfId="0" applyFont="1" applyBorder="1" applyAlignment="1"/>
    <xf numFmtId="187" fontId="5" fillId="41" borderId="10" xfId="0" applyNumberFormat="1" applyFont="1" applyFill="1" applyBorder="1" applyAlignment="1"/>
    <xf numFmtId="188" fontId="6" fillId="2" borderId="1" xfId="0" applyNumberFormat="1" applyFont="1" applyFill="1" applyBorder="1" applyAlignment="1"/>
    <xf numFmtId="188" fontId="16" fillId="34" borderId="7" xfId="0" applyNumberFormat="1" applyFont="1" applyFill="1" applyBorder="1" applyAlignment="1"/>
    <xf numFmtId="188" fontId="26" fillId="26" borderId="8" xfId="0" applyNumberFormat="1" applyFont="1" applyFill="1" applyBorder="1" applyAlignment="1"/>
    <xf numFmtId="188" fontId="26" fillId="26" borderId="9" xfId="0" applyNumberFormat="1" applyFont="1" applyFill="1" applyBorder="1" applyAlignment="1"/>
    <xf numFmtId="0" fontId="1" fillId="26" borderId="9" xfId="0" applyFont="1" applyFill="1" applyBorder="1" applyAlignment="1"/>
    <xf numFmtId="0" fontId="26" fillId="26" borderId="9" xfId="0" applyFont="1" applyFill="1" applyBorder="1" applyAlignment="1"/>
    <xf numFmtId="0" fontId="26" fillId="26" borderId="10" xfId="0" applyFont="1" applyFill="1" applyBorder="1" applyAlignment="1"/>
    <xf numFmtId="0" fontId="1" fillId="26" borderId="10" xfId="0" applyFont="1" applyFill="1" applyBorder="1" applyAlignment="1">
      <alignment horizontal="center" wrapText="1"/>
    </xf>
    <xf numFmtId="187" fontId="1" fillId="26" borderId="10" xfId="0" applyNumberFormat="1" applyFont="1" applyFill="1" applyBorder="1" applyAlignment="1">
      <alignment horizontal="right"/>
    </xf>
    <xf numFmtId="189" fontId="1" fillId="26" borderId="10" xfId="0" applyNumberFormat="1" applyFont="1" applyFill="1" applyBorder="1" applyAlignment="1">
      <alignment horizontal="right"/>
    </xf>
    <xf numFmtId="188" fontId="7" fillId="2" borderId="12" xfId="0" applyNumberFormat="1" applyFont="1" applyFill="1" applyBorder="1" applyAlignment="1"/>
    <xf numFmtId="0" fontId="23" fillId="0" borderId="10" xfId="0" applyFont="1" applyBorder="1" applyAlignment="1">
      <alignment horizontal="center"/>
    </xf>
    <xf numFmtId="188" fontId="23" fillId="0" borderId="9" xfId="0" quotePrefix="1" applyNumberFormat="1" applyFont="1" applyBorder="1" applyAlignment="1"/>
    <xf numFmtId="188" fontId="26" fillId="27" borderId="8" xfId="0" applyNumberFormat="1" applyFont="1" applyFill="1" applyBorder="1" applyAlignment="1"/>
    <xf numFmtId="188" fontId="26" fillId="27" borderId="9" xfId="0" applyNumberFormat="1" applyFont="1" applyFill="1" applyBorder="1" applyAlignment="1"/>
    <xf numFmtId="0" fontId="26" fillId="27" borderId="9" xfId="0" applyFont="1" applyFill="1" applyBorder="1" applyAlignment="1"/>
    <xf numFmtId="0" fontId="26" fillId="27" borderId="10" xfId="0" applyFont="1" applyFill="1" applyBorder="1" applyAlignment="1"/>
    <xf numFmtId="188" fontId="26" fillId="27" borderId="10" xfId="0" applyNumberFormat="1" applyFont="1" applyFill="1" applyBorder="1" applyAlignment="1"/>
    <xf numFmtId="187" fontId="26" fillId="27" borderId="10" xfId="0" applyNumberFormat="1" applyFont="1" applyFill="1" applyBorder="1" applyAlignment="1"/>
    <xf numFmtId="189" fontId="26" fillId="27" borderId="10" xfId="0" applyNumberFormat="1" applyFont="1" applyFill="1" applyBorder="1" applyAlignment="1"/>
    <xf numFmtId="189" fontId="26" fillId="27" borderId="28" xfId="0" applyNumberFormat="1" applyFont="1" applyFill="1" applyBorder="1" applyAlignment="1"/>
    <xf numFmtId="188" fontId="26" fillId="27" borderId="7" xfId="0" applyNumberFormat="1" applyFont="1" applyFill="1" applyBorder="1" applyAlignment="1"/>
    <xf numFmtId="188" fontId="26" fillId="27" borderId="1" xfId="0" applyNumberFormat="1" applyFont="1" applyFill="1" applyBorder="1" applyAlignment="1"/>
    <xf numFmtId="0" fontId="26" fillId="27" borderId="1" xfId="0" applyFont="1" applyFill="1" applyBorder="1" applyAlignment="1"/>
    <xf numFmtId="0" fontId="26" fillId="27" borderId="2" xfId="0" applyFont="1" applyFill="1" applyBorder="1" applyAlignment="1"/>
    <xf numFmtId="188" fontId="26" fillId="27" borderId="2" xfId="0" applyNumberFormat="1" applyFont="1" applyFill="1" applyBorder="1" applyAlignment="1"/>
    <xf numFmtId="187" fontId="26" fillId="27" borderId="2" xfId="0" applyNumberFormat="1" applyFont="1" applyFill="1" applyBorder="1" applyAlignment="1"/>
    <xf numFmtId="189" fontId="26" fillId="27" borderId="2" xfId="0" applyNumberFormat="1" applyFont="1" applyFill="1" applyBorder="1" applyAlignment="1"/>
    <xf numFmtId="189" fontId="26" fillId="27" borderId="26" xfId="0" applyNumberFormat="1" applyFont="1" applyFill="1" applyBorder="1" applyAlignment="1"/>
    <xf numFmtId="189" fontId="26" fillId="12" borderId="28" xfId="0" applyNumberFormat="1" applyFont="1" applyFill="1" applyBorder="1" applyAlignment="1"/>
    <xf numFmtId="189" fontId="26" fillId="2" borderId="30" xfId="0" applyNumberFormat="1" applyFont="1" applyFill="1" applyBorder="1" applyAlignment="1"/>
    <xf numFmtId="187" fontId="7" fillId="2" borderId="10" xfId="0" applyNumberFormat="1" applyFont="1" applyFill="1" applyBorder="1" applyAlignment="1"/>
    <xf numFmtId="193" fontId="5" fillId="2" borderId="10" xfId="0" applyNumberFormat="1" applyFont="1" applyFill="1" applyBorder="1" applyAlignment="1">
      <alignment horizontal="right"/>
    </xf>
    <xf numFmtId="46" fontId="26" fillId="2" borderId="11" xfId="0" applyNumberFormat="1" applyFont="1" applyFill="1" applyBorder="1" applyAlignment="1"/>
    <xf numFmtId="188" fontId="26" fillId="2" borderId="12" xfId="0" applyNumberFormat="1" applyFont="1" applyFill="1" applyBorder="1" applyAlignment="1"/>
    <xf numFmtId="0" fontId="23" fillId="2" borderId="12" xfId="0" quotePrefix="1" applyFont="1" applyFill="1" applyBorder="1" applyAlignment="1"/>
    <xf numFmtId="0" fontId="26" fillId="2" borderId="12" xfId="0" applyFont="1" applyFill="1" applyBorder="1" applyAlignment="1"/>
    <xf numFmtId="0" fontId="26" fillId="2" borderId="13" xfId="0" applyFont="1" applyFill="1" applyBorder="1" applyAlignment="1"/>
    <xf numFmtId="188" fontId="23" fillId="2" borderId="13" xfId="0" applyNumberFormat="1" applyFont="1" applyFill="1" applyBorder="1" applyAlignment="1">
      <alignment horizontal="center"/>
    </xf>
    <xf numFmtId="187" fontId="23" fillId="2" borderId="13" xfId="0" applyNumberFormat="1" applyFont="1" applyFill="1" applyBorder="1" applyAlignment="1">
      <alignment horizontal="right"/>
    </xf>
    <xf numFmtId="187" fontId="23" fillId="24" borderId="13" xfId="0" applyNumberFormat="1" applyFont="1" applyFill="1" applyBorder="1" applyAlignment="1">
      <alignment horizontal="right"/>
    </xf>
    <xf numFmtId="189" fontId="23" fillId="2" borderId="13" xfId="0" applyNumberFormat="1" applyFont="1" applyFill="1" applyBorder="1" applyAlignment="1">
      <alignment horizontal="right"/>
    </xf>
    <xf numFmtId="189" fontId="45" fillId="0" borderId="26" xfId="0" applyNumberFormat="1" applyFont="1" applyBorder="1" applyAlignment="1"/>
    <xf numFmtId="189" fontId="45" fillId="0" borderId="2" xfId="0" applyNumberFormat="1" applyFont="1" applyBorder="1" applyAlignment="1"/>
    <xf numFmtId="189" fontId="5" fillId="12" borderId="31" xfId="0" applyNumberFormat="1" applyFont="1" applyFill="1" applyBorder="1" applyAlignment="1">
      <alignment horizontal="right"/>
    </xf>
    <xf numFmtId="189" fontId="5" fillId="12" borderId="19" xfId="0" applyNumberFormat="1" applyFont="1" applyFill="1" applyBorder="1" applyAlignment="1">
      <alignment horizontal="right"/>
    </xf>
    <xf numFmtId="189" fontId="2" fillId="13" borderId="26" xfId="0" applyNumberFormat="1" applyFont="1" applyFill="1" applyBorder="1" applyAlignment="1"/>
    <xf numFmtId="189" fontId="2" fillId="14" borderId="7" xfId="0" applyNumberFormat="1" applyFont="1" applyFill="1" applyBorder="1" applyAlignment="1"/>
    <xf numFmtId="189" fontId="2" fillId="17" borderId="7" xfId="0" applyNumberFormat="1" applyFont="1" applyFill="1" applyBorder="1" applyAlignment="1"/>
    <xf numFmtId="189" fontId="2" fillId="21" borderId="7" xfId="0" applyNumberFormat="1" applyFont="1" applyFill="1" applyBorder="1" applyAlignment="1"/>
    <xf numFmtId="189" fontId="2" fillId="9" borderId="7" xfId="0" applyNumberFormat="1" applyFont="1" applyFill="1" applyBorder="1" applyAlignment="1"/>
    <xf numFmtId="189" fontId="32" fillId="2" borderId="28" xfId="0" applyNumberFormat="1" applyFont="1" applyFill="1" applyBorder="1" applyAlignment="1"/>
    <xf numFmtId="189" fontId="2" fillId="28" borderId="7" xfId="0" applyNumberFormat="1" applyFont="1" applyFill="1" applyBorder="1" applyAlignment="1"/>
    <xf numFmtId="189" fontId="2" fillId="31" borderId="7" xfId="0" applyNumberFormat="1" applyFont="1" applyFill="1" applyBorder="1" applyAlignment="1"/>
    <xf numFmtId="189" fontId="2" fillId="13" borderId="28" xfId="0" applyNumberFormat="1" applyFont="1" applyFill="1" applyBorder="1" applyAlignment="1"/>
    <xf numFmtId="189" fontId="2" fillId="13" borderId="10" xfId="0" applyNumberFormat="1" applyFont="1" applyFill="1" applyBorder="1" applyAlignment="1"/>
    <xf numFmtId="0" fontId="1" fillId="2" borderId="9" xfId="0" applyFont="1" applyFill="1" applyBorder="1" applyAlignment="1"/>
    <xf numFmtId="0" fontId="23" fillId="0" borderId="10" xfId="0" applyFont="1" applyBorder="1" applyAlignment="1">
      <alignment horizontal="center" wrapText="1"/>
    </xf>
    <xf numFmtId="189" fontId="23" fillId="0" borderId="10" xfId="0" applyNumberFormat="1" applyFont="1" applyBorder="1" applyAlignment="1">
      <alignment horizontal="right"/>
    </xf>
    <xf numFmtId="0" fontId="1" fillId="0" borderId="10" xfId="0" applyFont="1" applyBorder="1" applyAlignment="1">
      <alignment horizontal="center" wrapText="1"/>
    </xf>
    <xf numFmtId="187" fontId="1" fillId="2" borderId="10" xfId="0" applyNumberFormat="1" applyFont="1" applyFill="1" applyBorder="1" applyAlignment="1">
      <alignment horizontal="right"/>
    </xf>
    <xf numFmtId="189" fontId="1" fillId="0" borderId="10" xfId="0" applyNumberFormat="1" applyFont="1" applyBorder="1" applyAlignment="1">
      <alignment horizontal="right"/>
    </xf>
    <xf numFmtId="0" fontId="1" fillId="0" borderId="9" xfId="0" applyFont="1" applyBorder="1" applyAlignment="1"/>
    <xf numFmtId="187" fontId="23" fillId="0" borderId="10" xfId="0" applyNumberFormat="1" applyFont="1" applyBorder="1" applyAlignment="1">
      <alignment horizontal="right"/>
    </xf>
    <xf numFmtId="0" fontId="7" fillId="24" borderId="28" xfId="0" applyFont="1" applyFill="1" applyBorder="1" applyAlignment="1">
      <alignment horizontal="right"/>
    </xf>
    <xf numFmtId="193" fontId="7" fillId="24" borderId="28" xfId="0" applyNumberFormat="1" applyFont="1" applyFill="1" applyBorder="1" applyAlignment="1">
      <alignment horizontal="right"/>
    </xf>
    <xf numFmtId="187" fontId="7" fillId="41" borderId="10" xfId="0" applyNumberFormat="1" applyFont="1" applyFill="1" applyBorder="1" applyAlignment="1"/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3" bestFit="1" customWidth="1"/>
    <col min="15" max="15" width="20.140625" bestFit="1" customWidth="1"/>
    <col min="16" max="16" width="22" bestFit="1" customWidth="1"/>
    <col min="17" max="19" width="23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43" t="s">
        <v>0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</row>
    <row r="2" spans="1:21" ht="19.5" x14ac:dyDescent="0.3">
      <c r="A2" s="543" t="s">
        <v>1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  <c r="N2" s="543"/>
      <c r="O2" s="543"/>
      <c r="P2" s="543"/>
      <c r="Q2" s="543"/>
      <c r="R2" s="543"/>
      <c r="S2" s="543"/>
      <c r="T2" s="543"/>
      <c r="U2" s="543"/>
    </row>
    <row r="3" spans="1:21" ht="19.5" x14ac:dyDescent="0.3">
      <c r="A3" s="543" t="s">
        <v>337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  <c r="P3" s="543"/>
      <c r="Q3" s="543"/>
      <c r="R3" s="543"/>
      <c r="S3" s="543"/>
      <c r="T3" s="543"/>
      <c r="U3" s="543"/>
    </row>
    <row r="4" spans="1:21" ht="19.5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545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56" t="s">
        <v>4</v>
      </c>
      <c r="B5" s="544"/>
      <c r="C5" s="544"/>
      <c r="D5" s="544"/>
      <c r="E5" s="544"/>
      <c r="F5" s="544"/>
      <c r="G5" s="557"/>
      <c r="H5" s="5" t="s">
        <v>5</v>
      </c>
      <c r="I5" s="549" t="s">
        <v>6</v>
      </c>
      <c r="J5" s="540"/>
      <c r="K5" s="541"/>
      <c r="L5" s="542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59"/>
      <c r="B7" s="540"/>
      <c r="C7" s="540"/>
      <c r="D7" s="540"/>
      <c r="E7" s="540"/>
      <c r="F7" s="540"/>
      <c r="G7" s="541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92883443</v>
      </c>
      <c r="M18" s="35">
        <f t="shared" ca="1" si="0"/>
        <v>97059667.599999994</v>
      </c>
      <c r="N18" s="35">
        <f t="shared" ca="1" si="0"/>
        <v>87102972.929999992</v>
      </c>
      <c r="O18" s="35">
        <f t="shared" ref="O18:O26" ca="1" si="1">IF(L18&gt;0,N18*100/L18,0)</f>
        <v>93.776641042472988</v>
      </c>
      <c r="P18" s="35">
        <f t="shared" ref="P18:P26" ca="1" si="2">IF(M18&gt;0,N18*100/M18,0)</f>
        <v>89.741676521051687</v>
      </c>
      <c r="Q18" s="35">
        <f t="shared" ref="Q18:S18" ca="1" si="3">Q19+Q20</f>
        <v>22341144.07</v>
      </c>
      <c r="R18" s="35">
        <f t="shared" ca="1" si="3"/>
        <v>21008451.07</v>
      </c>
      <c r="S18" s="35">
        <f t="shared" ca="1" si="3"/>
        <v>14576496.430000002</v>
      </c>
      <c r="T18" s="35">
        <f t="shared" ref="T18:T26" ca="1" si="4">IF(Q18&gt;0,S18*100/Q18,0)</f>
        <v>65.245076010111433</v>
      </c>
      <c r="U18" s="35">
        <f t="shared" ref="U18:U26" ca="1" si="5">IF(R18&gt;0,S18*100/R18,0)</f>
        <v>69.383965440532606</v>
      </c>
    </row>
    <row r="19" spans="1:21" ht="18.75" hidden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92883443</v>
      </c>
      <c r="M20" s="39">
        <f t="shared" ca="1" si="8"/>
        <v>97059667.599999994</v>
      </c>
      <c r="N20" s="39">
        <f t="shared" ca="1" si="8"/>
        <v>87102972.929999992</v>
      </c>
      <c r="O20" s="39">
        <f t="shared" ca="1" si="1"/>
        <v>93.776641042472988</v>
      </c>
      <c r="P20" s="39">
        <f t="shared" ca="1" si="2"/>
        <v>89.741676521051687</v>
      </c>
      <c r="Q20" s="39">
        <f t="shared" ref="Q20:S20" ca="1" si="9">Q23+Q26</f>
        <v>22341144.07</v>
      </c>
      <c r="R20" s="39">
        <f t="shared" ca="1" si="9"/>
        <v>21008451.07</v>
      </c>
      <c r="S20" s="39">
        <f t="shared" ca="1" si="9"/>
        <v>14576496.430000002</v>
      </c>
      <c r="T20" s="39">
        <f t="shared" ca="1" si="4"/>
        <v>65.245076010111433</v>
      </c>
      <c r="U20" s="39">
        <f t="shared" ca="1" si="5"/>
        <v>69.383965440532606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37825043</v>
      </c>
      <c r="M21" s="47">
        <f t="shared" ca="1" si="10"/>
        <v>42789771.209999993</v>
      </c>
      <c r="N21" s="47">
        <f t="shared" ca="1" si="10"/>
        <v>38942222.50999999</v>
      </c>
      <c r="O21" s="47">
        <f t="shared" ca="1" si="1"/>
        <v>102.95354458684949</v>
      </c>
      <c r="P21" s="47">
        <f t="shared" ca="1" si="2"/>
        <v>91.008251291839514</v>
      </c>
      <c r="Q21" s="47">
        <f t="shared" ref="Q21:S21" ca="1" si="11">Q22+Q23</f>
        <v>18341144.07</v>
      </c>
      <c r="R21" s="47">
        <f t="shared" ca="1" si="11"/>
        <v>17008451.07</v>
      </c>
      <c r="S21" s="47">
        <f t="shared" ca="1" si="11"/>
        <v>14576496.430000002</v>
      </c>
      <c r="T21" s="47">
        <f t="shared" ca="1" si="4"/>
        <v>79.474303098912429</v>
      </c>
      <c r="U21" s="47">
        <f t="shared" ca="1" si="5"/>
        <v>85.701492569834585</v>
      </c>
    </row>
    <row r="22" spans="1:21" ht="18.75" hidden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L49+L64+L77+L99+L122+L144+L162+L191+L178+L271+L287+L308+L325+L338+L361+L380+L418+L498+L518+L539+L560+L581+L604+L621+L647+L695+L719+L733+L765</f>
        <v>37825043</v>
      </c>
      <c r="M23" s="47">
        <f t="shared" ca="1" si="14"/>
        <v>42789771.209999993</v>
      </c>
      <c r="N23" s="47">
        <f t="shared" ca="1" si="14"/>
        <v>38942222.50999999</v>
      </c>
      <c r="O23" s="47">
        <f t="shared" ca="1" si="1"/>
        <v>102.95354458684949</v>
      </c>
      <c r="P23" s="47">
        <f t="shared" ca="1" si="2"/>
        <v>91.008251291839514</v>
      </c>
      <c r="Q23" s="47">
        <f t="shared" ref="Q23:S23" ca="1" si="15">Q49+Q64+Q77+Q99+Q122+Q144+Q162+Q191+Q178+Q271+Q287+Q308+Q325+Q338+Q361+Q380+Q397+Q418+Q498+Q518+Q539+Q560+Q581+Q604+Q621+Q647+Q695+Q719+Q733+Q765</f>
        <v>18341144.07</v>
      </c>
      <c r="R23" s="47">
        <f t="shared" ca="1" si="15"/>
        <v>17008451.07</v>
      </c>
      <c r="S23" s="47">
        <f t="shared" ca="1" si="15"/>
        <v>14576496.430000002</v>
      </c>
      <c r="T23" s="47">
        <f t="shared" ca="1" si="4"/>
        <v>79.474303098912429</v>
      </c>
      <c r="U23" s="47">
        <f t="shared" ca="1" si="5"/>
        <v>85.701492569834585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54269896.390000001</v>
      </c>
      <c r="N24" s="47">
        <f t="shared" ca="1" si="16"/>
        <v>48160750.420000002</v>
      </c>
      <c r="O24" s="47">
        <f t="shared" ca="1" si="1"/>
        <v>87.472121274864506</v>
      </c>
      <c r="P24" s="47">
        <f t="shared" ca="1" si="2"/>
        <v>88.743029973564319</v>
      </c>
      <c r="Q24" s="47">
        <f t="shared" ref="Q24:S24" ca="1" si="17">Q25+Q26</f>
        <v>4000000</v>
      </c>
      <c r="R24" s="47">
        <f t="shared" ca="1" si="17"/>
        <v>4000000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L52+L67+L80+L102+L125+L147+L165+L194+L181+L274+L290+L311+L328+L341+L364+L383+L421+L501+L521+L542+L563+L584+L607+L624+L650+L698+L722+L736+L768</f>
        <v>55058400</v>
      </c>
      <c r="M26" s="47">
        <f t="shared" ca="1" si="20"/>
        <v>54269896.390000001</v>
      </c>
      <c r="N26" s="47">
        <f t="shared" ca="1" si="20"/>
        <v>48160750.420000002</v>
      </c>
      <c r="O26" s="47">
        <f t="shared" ca="1" si="1"/>
        <v>87.472121274864506</v>
      </c>
      <c r="P26" s="47">
        <f t="shared" ca="1" si="2"/>
        <v>88.743029973564319</v>
      </c>
      <c r="Q26" s="47">
        <f t="shared" ref="Q26:S26" ca="1" si="21">Q52+Q67+Q80+Q102+Q125+Q147+Q165+Q194+Q181+Q274+Q290+Q311+Q328+Q341+Q364+Q383+Q400+Q421+Q501+Q521+Q542+Q563+Q584+Q607+Q624+Q650+Q698+Q722+Q736+Q768</f>
        <v>4000000</v>
      </c>
      <c r="R26" s="47">
        <f t="shared" ca="1" si="21"/>
        <v>4000000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59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6742790.2400000002</v>
      </c>
      <c r="N44" s="79">
        <f t="shared" ca="1" si="22"/>
        <v>6492486.2400000002</v>
      </c>
      <c r="O44" s="79">
        <f t="shared" ref="O44:O52" ca="1" si="23">IF(L44&gt;0,N44*100/L44,0)</f>
        <v>108.60928861057938</v>
      </c>
      <c r="P44" s="79">
        <f t="shared" ref="P44:P52" ca="1" si="24">IF(M44&gt;0,N44*100/M44,0)</f>
        <v>96.28782757447901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hidden="1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6742790.2400000002</v>
      </c>
      <c r="N46" s="83">
        <f t="shared" ca="1" si="30"/>
        <v>6492486.2400000002</v>
      </c>
      <c r="O46" s="83">
        <f t="shared" ca="1" si="23"/>
        <v>108.60928861057938</v>
      </c>
      <c r="P46" s="83">
        <f t="shared" ca="1" si="24"/>
        <v>96.28782757447901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6742790.2400000002</v>
      </c>
      <c r="N47" s="47">
        <f t="shared" ca="1" si="32"/>
        <v>6492486.2400000002</v>
      </c>
      <c r="O47" s="47">
        <f t="shared" ca="1" si="23"/>
        <v>108.60928861057938</v>
      </c>
      <c r="P47" s="47">
        <f t="shared" ca="1" si="24"/>
        <v>96.28782757447901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hidden="1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6742790.24)</f>
        <v>6742790.2400000002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6492486.24)</f>
        <v>6492486.2400000002</v>
      </c>
      <c r="O49" s="47">
        <f t="shared" ca="1" si="23"/>
        <v>108.60928861057938</v>
      </c>
      <c r="P49" s="47">
        <f t="shared" ca="1" si="24"/>
        <v>96.28782757447901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hidden="1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hidden="1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25222923.359999992</v>
      </c>
      <c r="N59" s="106">
        <f t="shared" ca="1" si="36"/>
        <v>18811948.469999999</v>
      </c>
      <c r="O59" s="106">
        <f t="shared" ref="O59:O67" ca="1" si="37">IF(L59&gt;0,N59*100/L59,0)</f>
        <v>75.611637077617502</v>
      </c>
      <c r="P59" s="106">
        <f t="shared" ref="P59:P67" ca="1" si="38">IF(M59&gt;0,N59*100/M59,0)</f>
        <v>74.582744440452544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25222923.359999992</v>
      </c>
      <c r="N61" s="109">
        <f t="shared" ca="1" si="44"/>
        <v>18811948.469999999</v>
      </c>
      <c r="O61" s="109">
        <f t="shared" ca="1" si="37"/>
        <v>75.611637077617502</v>
      </c>
      <c r="P61" s="109">
        <f t="shared" ca="1" si="38"/>
        <v>74.582744440452544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9795326.9699999895</v>
      </c>
      <c r="N62" s="47">
        <f t="shared" ca="1" si="46"/>
        <v>9322520.0700000003</v>
      </c>
      <c r="O62" s="47">
        <f t="shared" ca="1" si="37"/>
        <v>104.35228483159273</v>
      </c>
      <c r="P62" s="47">
        <f t="shared" ca="1" si="38"/>
        <v>95.173138156101899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hidden="1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9795326.96999999)</f>
        <v>9795326.9699999895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9322520.07)</f>
        <v>9322520.0700000003</v>
      </c>
      <c r="O64" s="47">
        <f t="shared" ca="1" si="37"/>
        <v>104.35228483159273</v>
      </c>
      <c r="P64" s="47">
        <f t="shared" ca="1" si="38"/>
        <v>95.173138156101899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15427596.390000001</v>
      </c>
      <c r="N65" s="47">
        <f t="shared" ca="1" si="48"/>
        <v>9489428.4000000004</v>
      </c>
      <c r="O65" s="47">
        <f t="shared" ca="1" si="37"/>
        <v>59.50977298382039</v>
      </c>
      <c r="P65" s="47">
        <f t="shared" ca="1" si="38"/>
        <v>61.509441653211411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hidden="1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15427596.39)</f>
        <v>15427596.390000001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9489428.4)</f>
        <v>9489428.4000000004</v>
      </c>
      <c r="O67" s="111">
        <f t="shared" ca="1" si="37"/>
        <v>59.50977298382039</v>
      </c>
      <c r="P67" s="111">
        <f t="shared" ca="1" si="38"/>
        <v>61.509441653211411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125" t="s">
        <v>33</v>
      </c>
      <c r="C70" s="28"/>
      <c r="D70" s="126"/>
      <c r="E70" s="28"/>
      <c r="F70" s="28"/>
      <c r="G70" s="31"/>
      <c r="H70" s="127" t="s">
        <v>34</v>
      </c>
      <c r="I70" s="128">
        <f t="shared" ref="I70:J70" ca="1" si="50">I82</f>
        <v>4</v>
      </c>
      <c r="J70" s="128">
        <f t="shared" ca="1" si="50"/>
        <v>4</v>
      </c>
      <c r="K70" s="35">
        <f t="shared" ref="K70:K71" ca="1" si="51">IF(I70&gt;0,J70*100/I70,0)</f>
        <v>100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6"/>
      <c r="E71" s="28"/>
      <c r="F71" s="28"/>
      <c r="G71" s="31"/>
      <c r="H71" s="127" t="s">
        <v>35</v>
      </c>
      <c r="I71" s="128">
        <f t="shared" ref="I71:J71" ca="1" si="52">I83</f>
        <v>121</v>
      </c>
      <c r="J71" s="128">
        <f t="shared" ca="1" si="52"/>
        <v>121</v>
      </c>
      <c r="K71" s="35">
        <f t="shared" ca="1" si="51"/>
        <v>100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9"/>
      <c r="B72" s="41"/>
      <c r="C72" s="130" t="s">
        <v>18</v>
      </c>
      <c r="D72" s="131" t="s">
        <v>19</v>
      </c>
      <c r="E72" s="41"/>
      <c r="F72" s="41"/>
      <c r="G72" s="43"/>
      <c r="H72" s="132" t="s">
        <v>14</v>
      </c>
      <c r="I72" s="45"/>
      <c r="J72" s="45"/>
      <c r="K72" s="46"/>
      <c r="L72" s="133">
        <f t="shared" ref="L72:N72" ca="1" si="53">L73+L74</f>
        <v>795900</v>
      </c>
      <c r="M72" s="133">
        <f t="shared" ca="1" si="53"/>
        <v>795900</v>
      </c>
      <c r="N72" s="133">
        <f t="shared" ca="1" si="53"/>
        <v>752435</v>
      </c>
      <c r="O72" s="133">
        <f t="shared" ref="O72:O80" ca="1" si="54">IF(L72&gt;0,N72*100/L72,0)</f>
        <v>94.538886794823469</v>
      </c>
      <c r="P72" s="133">
        <f t="shared" ref="P72:P80" ca="1" si="55">IF(M72&gt;0,N72*100/M72,0)</f>
        <v>94.538886794823469</v>
      </c>
      <c r="Q72" s="133">
        <f t="shared" ref="Q72:S72" ca="1" si="56">Q73+Q74</f>
        <v>1525812</v>
      </c>
      <c r="R72" s="133">
        <f t="shared" ca="1" si="56"/>
        <v>967532</v>
      </c>
      <c r="S72" s="133">
        <f t="shared" ca="1" si="56"/>
        <v>955982</v>
      </c>
      <c r="T72" s="133">
        <f t="shared" ref="T72:T80" ca="1" si="57">IF(Q72&gt;0,S72*100/Q72,0)</f>
        <v>62.653983583822907</v>
      </c>
      <c r="U72" s="133">
        <f t="shared" ref="U72:U80" ca="1" si="58">IF(R72&gt;0,S72*100/R72,0)</f>
        <v>98.806241033888284</v>
      </c>
    </row>
    <row r="73" spans="1:21" ht="18.75" hidden="1" x14ac:dyDescent="0.25">
      <c r="A73" s="129"/>
      <c r="B73" s="41"/>
      <c r="C73" s="41"/>
      <c r="D73" s="41"/>
      <c r="E73" s="48" t="s">
        <v>20</v>
      </c>
      <c r="F73" s="41"/>
      <c r="G73" s="43"/>
      <c r="H73" s="134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hidden="1" x14ac:dyDescent="0.25">
      <c r="A74" s="129"/>
      <c r="B74" s="41"/>
      <c r="C74" s="41"/>
      <c r="D74" s="41"/>
      <c r="E74" s="48" t="s">
        <v>21</v>
      </c>
      <c r="F74" s="41"/>
      <c r="G74" s="43"/>
      <c r="H74" s="134" t="s">
        <v>14</v>
      </c>
      <c r="I74" s="45"/>
      <c r="J74" s="45"/>
      <c r="K74" s="46"/>
      <c r="L74" s="47">
        <f t="shared" ref="L74:N74" ca="1" si="61">L77+L80</f>
        <v>795900</v>
      </c>
      <c r="M74" s="47">
        <f t="shared" ca="1" si="61"/>
        <v>795900</v>
      </c>
      <c r="N74" s="47">
        <f t="shared" ca="1" si="61"/>
        <v>752435</v>
      </c>
      <c r="O74" s="47">
        <f t="shared" ca="1" si="54"/>
        <v>94.538886794823469</v>
      </c>
      <c r="P74" s="47">
        <f t="shared" ca="1" si="55"/>
        <v>94.538886794823469</v>
      </c>
      <c r="Q74" s="47">
        <f t="shared" ref="Q74:S74" ca="1" si="62">Q77+Q80</f>
        <v>1525812</v>
      </c>
      <c r="R74" s="47">
        <f t="shared" ca="1" si="62"/>
        <v>967532</v>
      </c>
      <c r="S74" s="47">
        <f t="shared" ca="1" si="62"/>
        <v>955982</v>
      </c>
      <c r="T74" s="47">
        <f t="shared" ca="1" si="57"/>
        <v>62.653983583822907</v>
      </c>
      <c r="U74" s="47">
        <f t="shared" ca="1" si="58"/>
        <v>98.806241033888284</v>
      </c>
    </row>
    <row r="75" spans="1:21" ht="18.75" x14ac:dyDescent="0.25">
      <c r="A75" s="129"/>
      <c r="B75" s="41"/>
      <c r="C75" s="41"/>
      <c r="D75" s="42" t="s">
        <v>22</v>
      </c>
      <c r="E75" s="41"/>
      <c r="F75" s="41"/>
      <c r="G75" s="43"/>
      <c r="H75" s="135" t="s">
        <v>14</v>
      </c>
      <c r="I75" s="136"/>
      <c r="J75" s="136"/>
      <c r="K75" s="137"/>
      <c r="L75" s="47">
        <f t="shared" ref="L75:N75" ca="1" si="63">L76+L77</f>
        <v>795900</v>
      </c>
      <c r="M75" s="47">
        <f t="shared" ca="1" si="63"/>
        <v>795900</v>
      </c>
      <c r="N75" s="47">
        <f t="shared" ca="1" si="63"/>
        <v>752435</v>
      </c>
      <c r="O75" s="47">
        <f t="shared" ca="1" si="54"/>
        <v>94.538886794823469</v>
      </c>
      <c r="P75" s="47">
        <f t="shared" ca="1" si="55"/>
        <v>94.538886794823469</v>
      </c>
      <c r="Q75" s="47">
        <f t="shared" ref="Q75:S75" ca="1" si="64">Q76+Q77</f>
        <v>1525812</v>
      </c>
      <c r="R75" s="47">
        <f t="shared" ca="1" si="64"/>
        <v>967532</v>
      </c>
      <c r="S75" s="47">
        <f t="shared" ca="1" si="64"/>
        <v>955982</v>
      </c>
      <c r="T75" s="47">
        <f t="shared" ca="1" si="57"/>
        <v>62.653983583822907</v>
      </c>
      <c r="U75" s="47">
        <f t="shared" ca="1" si="58"/>
        <v>98.806241033888284</v>
      </c>
    </row>
    <row r="76" spans="1:21" ht="18.75" hidden="1" x14ac:dyDescent="0.25">
      <c r="A76" s="129"/>
      <c r="B76" s="41"/>
      <c r="C76" s="41"/>
      <c r="D76" s="41"/>
      <c r="E76" s="48" t="s">
        <v>36</v>
      </c>
      <c r="F76" s="41"/>
      <c r="G76" s="43"/>
      <c r="H76" s="135" t="s">
        <v>14</v>
      </c>
      <c r="I76" s="136"/>
      <c r="J76" s="136"/>
      <c r="K76" s="137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hidden="1" x14ac:dyDescent="0.25">
      <c r="A77" s="129"/>
      <c r="B77" s="41"/>
      <c r="C77" s="41"/>
      <c r="D77" s="41"/>
      <c r="E77" s="48" t="s">
        <v>37</v>
      </c>
      <c r="F77" s="41"/>
      <c r="G77" s="43"/>
      <c r="H77" s="135" t="s">
        <v>14</v>
      </c>
      <c r="I77" s="136"/>
      <c r="J77" s="136"/>
      <c r="K77" s="137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795900)</f>
        <v>795900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795900)</f>
        <v>795900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752435)</f>
        <v>752435</v>
      </c>
      <c r="O77" s="47">
        <f t="shared" ca="1" si="54"/>
        <v>94.538886794823469</v>
      </c>
      <c r="P77" s="47">
        <f t="shared" ca="1" si="55"/>
        <v>94.538886794823469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967532)</f>
        <v>967532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955982)</f>
        <v>955982</v>
      </c>
      <c r="T77" s="47">
        <f t="shared" ca="1" si="57"/>
        <v>62.653983583822907</v>
      </c>
      <c r="U77" s="47">
        <f t="shared" ca="1" si="58"/>
        <v>98.806241033888284</v>
      </c>
    </row>
    <row r="78" spans="1:21" ht="18.75" x14ac:dyDescent="0.25">
      <c r="A78" s="129"/>
      <c r="B78" s="41"/>
      <c r="C78" s="41"/>
      <c r="D78" s="42" t="s">
        <v>23</v>
      </c>
      <c r="E78" s="41"/>
      <c r="F78" s="41"/>
      <c r="G78" s="43"/>
      <c r="H78" s="138" t="s">
        <v>14</v>
      </c>
      <c r="I78" s="136"/>
      <c r="J78" s="136"/>
      <c r="K78" s="137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hidden="1" x14ac:dyDescent="0.25">
      <c r="A79" s="129"/>
      <c r="B79" s="41"/>
      <c r="C79" s="41"/>
      <c r="D79" s="41"/>
      <c r="E79" s="48" t="s">
        <v>20</v>
      </c>
      <c r="F79" s="41"/>
      <c r="G79" s="43"/>
      <c r="H79" s="135" t="s">
        <v>14</v>
      </c>
      <c r="I79" s="136"/>
      <c r="J79" s="136"/>
      <c r="K79" s="137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hidden="1" x14ac:dyDescent="0.25">
      <c r="A80" s="129"/>
      <c r="B80" s="41"/>
      <c r="C80" s="41"/>
      <c r="D80" s="41"/>
      <c r="E80" s="48" t="s">
        <v>21</v>
      </c>
      <c r="F80" s="41"/>
      <c r="G80" s="43"/>
      <c r="H80" s="138" t="s">
        <v>14</v>
      </c>
      <c r="I80" s="136"/>
      <c r="J80" s="136"/>
      <c r="K80" s="137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9"/>
      <c r="B81" s="140"/>
      <c r="C81" s="130" t="s">
        <v>18</v>
      </c>
      <c r="D81" s="141" t="s">
        <v>38</v>
      </c>
      <c r="E81" s="142"/>
      <c r="F81" s="142"/>
      <c r="G81" s="143"/>
      <c r="H81" s="144"/>
      <c r="I81" s="136"/>
      <c r="J81" s="136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x14ac:dyDescent="0.3">
      <c r="A82" s="139"/>
      <c r="B82" s="140"/>
      <c r="C82" s="140"/>
      <c r="D82" s="145" t="s">
        <v>39</v>
      </c>
      <c r="E82" s="146"/>
      <c r="F82" s="146"/>
      <c r="G82" s="144"/>
      <c r="H82" s="147" t="s">
        <v>34</v>
      </c>
      <c r="I82" s="148">
        <f t="shared" ref="I82:J82" ca="1" si="67">I84+I86+I88</f>
        <v>4</v>
      </c>
      <c r="J82" s="148">
        <f t="shared" ca="1" si="67"/>
        <v>4</v>
      </c>
      <c r="K82" s="149">
        <f t="shared" ref="K82:K90" ca="1" si="68">IF(I82&gt;0,J82*100/I82,0)</f>
        <v>100</v>
      </c>
      <c r="L82" s="137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x14ac:dyDescent="0.3">
      <c r="A83" s="139"/>
      <c r="B83" s="140"/>
      <c r="C83" s="140"/>
      <c r="D83" s="140"/>
      <c r="E83" s="146"/>
      <c r="F83" s="146"/>
      <c r="G83" s="144"/>
      <c r="H83" s="147" t="s">
        <v>35</v>
      </c>
      <c r="I83" s="148">
        <f t="shared" ref="I83:J83" ca="1" si="69">I85+I87+I89</f>
        <v>121</v>
      </c>
      <c r="J83" s="148">
        <f t="shared" ca="1" si="69"/>
        <v>121</v>
      </c>
      <c r="K83" s="149">
        <f t="shared" ca="1" si="68"/>
        <v>100</v>
      </c>
      <c r="L83" s="137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x14ac:dyDescent="0.25">
      <c r="A84" s="139"/>
      <c r="B84" s="140"/>
      <c r="C84" s="140"/>
      <c r="D84" s="140"/>
      <c r="E84" s="150" t="s">
        <v>40</v>
      </c>
      <c r="F84" s="146"/>
      <c r="G84" s="144"/>
      <c r="H84" s="151" t="s">
        <v>34</v>
      </c>
      <c r="I84" s="152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3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4">
        <f t="shared" ca="1" si="68"/>
        <v>100</v>
      </c>
      <c r="L84" s="137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x14ac:dyDescent="0.25">
      <c r="A85" s="139"/>
      <c r="B85" s="140"/>
      <c r="C85" s="140"/>
      <c r="D85" s="140"/>
      <c r="E85" s="146"/>
      <c r="F85" s="146"/>
      <c r="G85" s="144"/>
      <c r="H85" s="151" t="s">
        <v>35</v>
      </c>
      <c r="I85" s="152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3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4">
        <f t="shared" ca="1" si="68"/>
        <v>100</v>
      </c>
      <c r="L85" s="137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x14ac:dyDescent="0.25">
      <c r="A86" s="139"/>
      <c r="B86" s="140"/>
      <c r="C86" s="140"/>
      <c r="D86" s="140"/>
      <c r="E86" s="150" t="s">
        <v>41</v>
      </c>
      <c r="F86" s="146"/>
      <c r="G86" s="144"/>
      <c r="H86" s="151" t="s">
        <v>34</v>
      </c>
      <c r="I86" s="152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3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2)</f>
        <v>2</v>
      </c>
      <c r="K86" s="154">
        <f t="shared" ca="1" si="68"/>
        <v>100</v>
      </c>
      <c r="L86" s="137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x14ac:dyDescent="0.25">
      <c r="A87" s="139"/>
      <c r="B87" s="140"/>
      <c r="C87" s="140"/>
      <c r="D87" s="140"/>
      <c r="E87" s="146"/>
      <c r="F87" s="146"/>
      <c r="G87" s="144"/>
      <c r="H87" s="151" t="s">
        <v>35</v>
      </c>
      <c r="I87" s="152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3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60)</f>
        <v>60</v>
      </c>
      <c r="K87" s="154">
        <f t="shared" ca="1" si="68"/>
        <v>100</v>
      </c>
      <c r="L87" s="137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x14ac:dyDescent="0.25">
      <c r="A88" s="139"/>
      <c r="B88" s="140"/>
      <c r="C88" s="140"/>
      <c r="D88" s="140"/>
      <c r="E88" s="150" t="s">
        <v>42</v>
      </c>
      <c r="F88" s="146"/>
      <c r="G88" s="144"/>
      <c r="H88" s="151" t="s">
        <v>34</v>
      </c>
      <c r="I88" s="152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3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1)</f>
        <v>1</v>
      </c>
      <c r="K88" s="154">
        <f t="shared" ca="1" si="68"/>
        <v>100</v>
      </c>
      <c r="L88" s="137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x14ac:dyDescent="0.25">
      <c r="A89" s="139"/>
      <c r="B89" s="140"/>
      <c r="C89" s="140"/>
      <c r="D89" s="140"/>
      <c r="E89" s="146"/>
      <c r="F89" s="146"/>
      <c r="G89" s="144"/>
      <c r="H89" s="151" t="s">
        <v>35</v>
      </c>
      <c r="I89" s="152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3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30)</f>
        <v>30</v>
      </c>
      <c r="K89" s="154">
        <f t="shared" ca="1" si="68"/>
        <v>100</v>
      </c>
      <c r="L89" s="137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x14ac:dyDescent="0.25">
      <c r="A90" s="139"/>
      <c r="B90" s="140"/>
      <c r="C90" s="140"/>
      <c r="D90" s="145" t="s">
        <v>43</v>
      </c>
      <c r="E90" s="146"/>
      <c r="F90" s="146"/>
      <c r="G90" s="144"/>
      <c r="H90" s="155" t="s">
        <v>34</v>
      </c>
      <c r="I90" s="152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3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4)</f>
        <v>4</v>
      </c>
      <c r="K90" s="154">
        <f t="shared" ca="1" si="68"/>
        <v>100</v>
      </c>
      <c r="L90" s="137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6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57" t="s">
        <v>46</v>
      </c>
      <c r="I92" s="128">
        <f t="shared" ref="I92:J92" ca="1" si="70">I108</f>
        <v>297</v>
      </c>
      <c r="J92" s="128">
        <f t="shared" ca="1" si="70"/>
        <v>297</v>
      </c>
      <c r="K92" s="35">
        <f t="shared" ref="K92:K93" ca="1" si="71">IF(I92&gt;0,J92*100/I92,0)</f>
        <v>100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57" t="s">
        <v>35</v>
      </c>
      <c r="I93" s="128">
        <f t="shared" ref="I93:J93" ca="1" si="72">I109</f>
        <v>99</v>
      </c>
      <c r="J93" s="128">
        <f t="shared" ca="1" si="72"/>
        <v>99</v>
      </c>
      <c r="K93" s="35">
        <f t="shared" ca="1" si="71"/>
        <v>100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41"/>
      <c r="C94" s="130" t="s">
        <v>18</v>
      </c>
      <c r="D94" s="131" t="s">
        <v>19</v>
      </c>
      <c r="E94" s="41"/>
      <c r="F94" s="41"/>
      <c r="G94" s="43"/>
      <c r="H94" s="132" t="s">
        <v>14</v>
      </c>
      <c r="I94" s="45"/>
      <c r="J94" s="45"/>
      <c r="K94" s="46"/>
      <c r="L94" s="133">
        <f t="shared" ref="L94:N94" ca="1" si="73">L95+L96</f>
        <v>59400</v>
      </c>
      <c r="M94" s="133">
        <f t="shared" ca="1" si="73"/>
        <v>59400</v>
      </c>
      <c r="N94" s="133">
        <f t="shared" ca="1" si="73"/>
        <v>59400</v>
      </c>
      <c r="O94" s="133">
        <f t="shared" ref="O94:O102" ca="1" si="74">IF(L94&gt;0,N94*100/L94,0)</f>
        <v>100</v>
      </c>
      <c r="P94" s="133">
        <f t="shared" ref="P94:P102" ca="1" si="75">IF(M94&gt;0,N94*100/M94,0)</f>
        <v>100</v>
      </c>
      <c r="Q94" s="133">
        <f t="shared" ref="Q94:S94" ca="1" si="76">Q95+Q96</f>
        <v>835758</v>
      </c>
      <c r="R94" s="133">
        <f t="shared" ca="1" si="76"/>
        <v>546230</v>
      </c>
      <c r="S94" s="133">
        <f t="shared" ca="1" si="76"/>
        <v>544530</v>
      </c>
      <c r="T94" s="133">
        <f t="shared" ref="T94:T102" ca="1" si="77">IF(Q94&gt;0,S94*100/Q94,0)</f>
        <v>65.154027840595006</v>
      </c>
      <c r="U94" s="133">
        <f t="shared" ref="U94:U102" ca="1" si="78">IF(R94&gt;0,S94*100/R94,0)</f>
        <v>99.688775790417949</v>
      </c>
    </row>
    <row r="95" spans="1:21" ht="18.75" hidden="1" x14ac:dyDescent="0.25">
      <c r="A95" s="129"/>
      <c r="B95" s="41"/>
      <c r="C95" s="41"/>
      <c r="D95" s="41"/>
      <c r="E95" s="158" t="s">
        <v>20</v>
      </c>
      <c r="F95" s="41"/>
      <c r="G95" s="43"/>
      <c r="H95" s="159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hidden="1" x14ac:dyDescent="0.25">
      <c r="A96" s="129"/>
      <c r="B96" s="41"/>
      <c r="C96" s="41"/>
      <c r="D96" s="41"/>
      <c r="E96" s="48" t="s">
        <v>21</v>
      </c>
      <c r="F96" s="41"/>
      <c r="G96" s="43"/>
      <c r="H96" s="134" t="s">
        <v>14</v>
      </c>
      <c r="I96" s="45"/>
      <c r="J96" s="45"/>
      <c r="K96" s="46"/>
      <c r="L96" s="47">
        <f t="shared" ref="L96:N96" ca="1" si="81">L99+L102</f>
        <v>59400</v>
      </c>
      <c r="M96" s="47">
        <f t="shared" ca="1" si="81"/>
        <v>59400</v>
      </c>
      <c r="N96" s="47">
        <f t="shared" ca="1" si="81"/>
        <v>59400</v>
      </c>
      <c r="O96" s="47">
        <f t="shared" ca="1" si="74"/>
        <v>100</v>
      </c>
      <c r="P96" s="47">
        <f t="shared" ca="1" si="75"/>
        <v>100</v>
      </c>
      <c r="Q96" s="47">
        <f t="shared" ref="Q96:S96" ca="1" si="82">Q99+Q102</f>
        <v>835758</v>
      </c>
      <c r="R96" s="47">
        <f t="shared" ca="1" si="82"/>
        <v>546230</v>
      </c>
      <c r="S96" s="47">
        <f t="shared" ca="1" si="82"/>
        <v>544530</v>
      </c>
      <c r="T96" s="47">
        <f t="shared" ca="1" si="77"/>
        <v>65.154027840595006</v>
      </c>
      <c r="U96" s="47">
        <f t="shared" ca="1" si="78"/>
        <v>99.688775790417949</v>
      </c>
    </row>
    <row r="97" spans="1:21" ht="18.75" x14ac:dyDescent="0.25">
      <c r="A97" s="129"/>
      <c r="B97" s="160"/>
      <c r="C97" s="41"/>
      <c r="D97" s="42" t="s">
        <v>22</v>
      </c>
      <c r="E97" s="41"/>
      <c r="F97" s="41"/>
      <c r="G97" s="43"/>
      <c r="H97" s="135" t="s">
        <v>14</v>
      </c>
      <c r="I97" s="136"/>
      <c r="J97" s="136"/>
      <c r="K97" s="137"/>
      <c r="L97" s="47">
        <f t="shared" ref="L97:N97" ca="1" si="83">L98+L99</f>
        <v>59400</v>
      </c>
      <c r="M97" s="47">
        <f t="shared" ca="1" si="83"/>
        <v>59400</v>
      </c>
      <c r="N97" s="47">
        <f t="shared" ca="1" si="83"/>
        <v>59400</v>
      </c>
      <c r="O97" s="47">
        <f t="shared" ca="1" si="74"/>
        <v>100</v>
      </c>
      <c r="P97" s="47">
        <f t="shared" ca="1" si="75"/>
        <v>100</v>
      </c>
      <c r="Q97" s="47">
        <f t="shared" ref="Q97:S97" ca="1" si="84">Q98+Q99</f>
        <v>835758</v>
      </c>
      <c r="R97" s="47">
        <f t="shared" ca="1" si="84"/>
        <v>546230</v>
      </c>
      <c r="S97" s="47">
        <f t="shared" ca="1" si="84"/>
        <v>544530</v>
      </c>
      <c r="T97" s="47">
        <f t="shared" ca="1" si="77"/>
        <v>65.154027840595006</v>
      </c>
      <c r="U97" s="47">
        <f t="shared" ca="1" si="78"/>
        <v>99.688775790417949</v>
      </c>
    </row>
    <row r="98" spans="1:21" ht="18.75" hidden="1" x14ac:dyDescent="0.25">
      <c r="A98" s="129"/>
      <c r="B98" s="160"/>
      <c r="C98" s="160"/>
      <c r="D98" s="41"/>
      <c r="E98" s="158" t="s">
        <v>36</v>
      </c>
      <c r="F98" s="41"/>
      <c r="G98" s="43"/>
      <c r="H98" s="161" t="s">
        <v>14</v>
      </c>
      <c r="I98" s="136"/>
      <c r="J98" s="136"/>
      <c r="K98" s="137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hidden="1" x14ac:dyDescent="0.25">
      <c r="A99" s="129"/>
      <c r="B99" s="160"/>
      <c r="C99" s="160"/>
      <c r="D99" s="41"/>
      <c r="E99" s="48" t="s">
        <v>37</v>
      </c>
      <c r="F99" s="41"/>
      <c r="G99" s="43"/>
      <c r="H99" s="135" t="s">
        <v>14</v>
      </c>
      <c r="I99" s="136"/>
      <c r="J99" s="136"/>
      <c r="K99" s="137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59400)</f>
        <v>59400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59400)</f>
        <v>59400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59400)</f>
        <v>59400</v>
      </c>
      <c r="O99" s="47">
        <f t="shared" ca="1" si="74"/>
        <v>100</v>
      </c>
      <c r="P99" s="47">
        <f t="shared" ca="1" si="75"/>
        <v>100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546230)</f>
        <v>546230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544530)</f>
        <v>544530</v>
      </c>
      <c r="T99" s="47">
        <f t="shared" ca="1" si="77"/>
        <v>65.154027840595006</v>
      </c>
      <c r="U99" s="47">
        <f t="shared" ca="1" si="78"/>
        <v>99.688775790417949</v>
      </c>
    </row>
    <row r="100" spans="1:21" ht="18.75" x14ac:dyDescent="0.25">
      <c r="A100" s="129"/>
      <c r="B100" s="160"/>
      <c r="C100" s="160"/>
      <c r="D100" s="162" t="s">
        <v>23</v>
      </c>
      <c r="E100" s="41"/>
      <c r="F100" s="41"/>
      <c r="G100" s="43"/>
      <c r="H100" s="138" t="s">
        <v>14</v>
      </c>
      <c r="I100" s="136"/>
      <c r="J100" s="136"/>
      <c r="K100" s="137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hidden="1" x14ac:dyDescent="0.25">
      <c r="A101" s="129"/>
      <c r="B101" s="160"/>
      <c r="C101" s="160"/>
      <c r="D101" s="41"/>
      <c r="E101" s="158" t="s">
        <v>20</v>
      </c>
      <c r="F101" s="41"/>
      <c r="G101" s="43"/>
      <c r="H101" s="161" t="s">
        <v>14</v>
      </c>
      <c r="I101" s="136"/>
      <c r="J101" s="136"/>
      <c r="K101" s="137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hidden="1" x14ac:dyDescent="0.25">
      <c r="A102" s="129"/>
      <c r="B102" s="160"/>
      <c r="C102" s="160"/>
      <c r="D102" s="41"/>
      <c r="E102" s="48" t="s">
        <v>21</v>
      </c>
      <c r="F102" s="41"/>
      <c r="G102" s="43"/>
      <c r="H102" s="138" t="s">
        <v>14</v>
      </c>
      <c r="I102" s="136"/>
      <c r="J102" s="136"/>
      <c r="K102" s="137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9"/>
      <c r="B103" s="140"/>
      <c r="C103" s="163" t="s">
        <v>18</v>
      </c>
      <c r="D103" s="141" t="s">
        <v>38</v>
      </c>
      <c r="E103" s="142"/>
      <c r="F103" s="142"/>
      <c r="G103" s="143"/>
      <c r="H103" s="144"/>
      <c r="I103" s="136"/>
      <c r="J103" s="45"/>
      <c r="K103" s="46"/>
      <c r="L103" s="46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166" t="s">
        <v>47</v>
      </c>
      <c r="E107" s="167"/>
      <c r="F107" s="146"/>
      <c r="G107" s="144"/>
      <c r="H107" s="43"/>
      <c r="I107" s="45"/>
      <c r="J107" s="45"/>
      <c r="K107" s="46"/>
      <c r="L107" s="46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168" t="s">
        <v>48</v>
      </c>
      <c r="E108" s="146"/>
      <c r="F108" s="146"/>
      <c r="G108" s="144"/>
      <c r="H108" s="44" t="s">
        <v>46</v>
      </c>
      <c r="I108" s="153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9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297)</f>
        <v>297</v>
      </c>
      <c r="K108" s="47">
        <f t="shared" ref="K108:K109" ca="1" si="87">IF(I108&gt;0,J108*100/I108,0)</f>
        <v>100</v>
      </c>
      <c r="L108" s="46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150" t="s">
        <v>49</v>
      </c>
      <c r="E109" s="170"/>
      <c r="F109" s="146"/>
      <c r="G109" s="144"/>
      <c r="H109" s="44" t="s">
        <v>35</v>
      </c>
      <c r="I109" s="153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9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99)</f>
        <v>99</v>
      </c>
      <c r="K109" s="47">
        <f t="shared" ca="1" si="87"/>
        <v>100</v>
      </c>
      <c r="L109" s="46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65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173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8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297)</f>
        <v>297</v>
      </c>
      <c r="K113" s="179">
        <f t="shared" ref="K113:K114" ca="1" si="88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46"/>
      <c r="E114" s="146"/>
      <c r="F114" s="146"/>
      <c r="G114" s="144"/>
      <c r="H114" s="151" t="s">
        <v>35</v>
      </c>
      <c r="I114" s="152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9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99)</f>
        <v>99</v>
      </c>
      <c r="K114" s="47">
        <f t="shared" ca="1" si="88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118" t="s">
        <v>51</v>
      </c>
      <c r="B115" s="120"/>
      <c r="C115" s="182"/>
      <c r="D115" s="119"/>
      <c r="E115" s="119"/>
      <c r="F115" s="119"/>
      <c r="G115" s="119"/>
      <c r="H115" s="120"/>
      <c r="I115" s="183"/>
      <c r="J115" s="183"/>
      <c r="K115" s="184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89">I127</f>
        <v>255</v>
      </c>
      <c r="J116" s="128">
        <f t="shared" ca="1" si="89"/>
        <v>255</v>
      </c>
      <c r="K116" s="35">
        <f ca="1">IF(I116&gt;0,J116*100/I116,0)</f>
        <v>100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163" t="s">
        <v>18</v>
      </c>
      <c r="D117" s="131" t="s">
        <v>19</v>
      </c>
      <c r="E117" s="41"/>
      <c r="F117" s="41"/>
      <c r="G117" s="43"/>
      <c r="H117" s="132" t="s">
        <v>14</v>
      </c>
      <c r="I117" s="45"/>
      <c r="J117" s="45"/>
      <c r="K117" s="46"/>
      <c r="L117" s="133">
        <f t="shared" ref="L117:N117" ca="1" si="90">L118+L119</f>
        <v>351900</v>
      </c>
      <c r="M117" s="133">
        <f t="shared" ca="1" si="90"/>
        <v>325740</v>
      </c>
      <c r="N117" s="133">
        <f t="shared" ca="1" si="90"/>
        <v>295000</v>
      </c>
      <c r="O117" s="133">
        <f t="shared" ref="O117:O125" ca="1" si="91">IF(L117&gt;0,N117*100/L117,0)</f>
        <v>83.830633702756458</v>
      </c>
      <c r="P117" s="133">
        <f t="shared" ref="P117:P125" ca="1" si="92">IF(M117&gt;0,N117*100/M117,0)</f>
        <v>90.563025726039172</v>
      </c>
      <c r="Q117" s="133">
        <f t="shared" ref="Q117:S117" ca="1" si="93">Q118+Q119</f>
        <v>6161560</v>
      </c>
      <c r="R117" s="133">
        <f t="shared" ca="1" si="93"/>
        <v>6096531.29</v>
      </c>
      <c r="S117" s="133">
        <f t="shared" ca="1" si="93"/>
        <v>2617424.2200000002</v>
      </c>
      <c r="T117" s="133">
        <f t="shared" ref="T117:T125" ca="1" si="94">IF(Q117&gt;0,S117*100/Q117,0)</f>
        <v>42.479895026584181</v>
      </c>
      <c r="U117" s="133">
        <f t="shared" ref="U117:U125" ca="1" si="95">IF(R117&gt;0,S117*100/R117,0)</f>
        <v>42.933007237956787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41"/>
      <c r="G118" s="43"/>
      <c r="H118" s="159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hidden="1" x14ac:dyDescent="0.25">
      <c r="A119" s="129"/>
      <c r="B119" s="160"/>
      <c r="C119" s="160"/>
      <c r="D119" s="160"/>
      <c r="E119" s="48" t="s">
        <v>21</v>
      </c>
      <c r="F119" s="41"/>
      <c r="G119" s="43"/>
      <c r="H119" s="134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325740</v>
      </c>
      <c r="N119" s="47">
        <f t="shared" ca="1" si="98"/>
        <v>295000</v>
      </c>
      <c r="O119" s="47">
        <f t="shared" ca="1" si="91"/>
        <v>83.830633702756458</v>
      </c>
      <c r="P119" s="47">
        <f t="shared" ca="1" si="92"/>
        <v>90.563025726039172</v>
      </c>
      <c r="Q119" s="47">
        <f t="shared" ref="Q119:S119" ca="1" si="99">Q122+Q125</f>
        <v>6161560</v>
      </c>
      <c r="R119" s="47">
        <f t="shared" ca="1" si="99"/>
        <v>6096531.29</v>
      </c>
      <c r="S119" s="47">
        <f t="shared" ca="1" si="99"/>
        <v>2617424.2200000002</v>
      </c>
      <c r="T119" s="47">
        <f t="shared" ca="1" si="94"/>
        <v>42.479895026584181</v>
      </c>
      <c r="U119" s="47">
        <f t="shared" ca="1" si="95"/>
        <v>42.933007237956787</v>
      </c>
    </row>
    <row r="120" spans="1:21" ht="18.75" x14ac:dyDescent="0.25">
      <c r="A120" s="129"/>
      <c r="B120" s="160"/>
      <c r="C120" s="188"/>
      <c r="D120" s="162" t="s">
        <v>22</v>
      </c>
      <c r="E120" s="41"/>
      <c r="F120" s="41"/>
      <c r="G120" s="43"/>
      <c r="H120" s="189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30740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2746531.29</v>
      </c>
      <c r="S120" s="47">
        <f t="shared" ca="1" si="101"/>
        <v>2617424.2200000002</v>
      </c>
      <c r="T120" s="47">
        <f t="shared" ca="1" si="94"/>
        <v>93.095086713426014</v>
      </c>
      <c r="U120" s="47">
        <f t="shared" ca="1" si="95"/>
        <v>95.299268190751263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41"/>
      <c r="G121" s="43"/>
      <c r="H121" s="190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hidden="1" x14ac:dyDescent="0.25">
      <c r="A122" s="129"/>
      <c r="B122" s="160"/>
      <c r="C122" s="188"/>
      <c r="D122" s="160"/>
      <c r="E122" s="48" t="s">
        <v>37</v>
      </c>
      <c r="F122" s="41"/>
      <c r="G122" s="43"/>
      <c r="H122" s="189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30740)</f>
        <v>30740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2746531.29)</f>
        <v>2746531.29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2617424.22)</f>
        <v>2617424.2200000002</v>
      </c>
      <c r="T122" s="47">
        <f t="shared" ca="1" si="94"/>
        <v>93.095086713426014</v>
      </c>
      <c r="U122" s="47">
        <f t="shared" ca="1" si="95"/>
        <v>95.299268190751263</v>
      </c>
    </row>
    <row r="123" spans="1:21" ht="18.75" x14ac:dyDescent="0.25">
      <c r="A123" s="129"/>
      <c r="B123" s="41"/>
      <c r="C123" s="188"/>
      <c r="D123" s="162" t="s">
        <v>23</v>
      </c>
      <c r="E123" s="41"/>
      <c r="F123" s="41"/>
      <c r="G123" s="43"/>
      <c r="H123" s="134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295000</v>
      </c>
      <c r="N123" s="47">
        <f t="shared" ca="1" si="102"/>
        <v>295000</v>
      </c>
      <c r="O123" s="47">
        <f t="shared" ca="1" si="91"/>
        <v>83.830633702756458</v>
      </c>
      <c r="P123" s="47">
        <f t="shared" ca="1" si="92"/>
        <v>100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hidden="1" x14ac:dyDescent="0.25">
      <c r="A124" s="129"/>
      <c r="B124" s="41"/>
      <c r="C124" s="188"/>
      <c r="D124" s="160"/>
      <c r="E124" s="158" t="s">
        <v>20</v>
      </c>
      <c r="F124" s="41"/>
      <c r="G124" s="43"/>
      <c r="H124" s="190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hidden="1" x14ac:dyDescent="0.25">
      <c r="A125" s="129"/>
      <c r="B125" s="41"/>
      <c r="C125" s="41"/>
      <c r="D125" s="41"/>
      <c r="E125" s="48" t="s">
        <v>21</v>
      </c>
      <c r="F125" s="41"/>
      <c r="G125" s="43"/>
      <c r="H125" s="134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295000)</f>
        <v>295000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295000)</f>
        <v>295000</v>
      </c>
      <c r="O125" s="47">
        <f t="shared" ca="1" si="91"/>
        <v>83.830633702756458</v>
      </c>
      <c r="P125" s="47">
        <f t="shared" ca="1" si="92"/>
        <v>100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9"/>
      <c r="B126" s="140"/>
      <c r="C126" s="191" t="s">
        <v>18</v>
      </c>
      <c r="D126" s="141" t="s">
        <v>38</v>
      </c>
      <c r="E126" s="142"/>
      <c r="F126" s="142"/>
      <c r="G126" s="143"/>
      <c r="H126" s="192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168" t="s">
        <v>53</v>
      </c>
      <c r="E127" s="146"/>
      <c r="F127" s="146"/>
      <c r="G127" s="144"/>
      <c r="H127" s="134" t="s">
        <v>35</v>
      </c>
      <c r="I127" s="153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9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255)</f>
        <v>255</v>
      </c>
      <c r="K127" s="47">
        <f t="shared" ref="K127:K130" ca="1" si="104">IF(I127&gt;0,J127*100/I127,0)</f>
        <v>100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46"/>
      <c r="E128" s="146"/>
      <c r="F128" s="146"/>
      <c r="G128" s="144"/>
      <c r="H128" s="134" t="s">
        <v>54</v>
      </c>
      <c r="I128" s="153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16)</f>
        <v>16</v>
      </c>
      <c r="J128" s="169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16)</f>
        <v>16</v>
      </c>
      <c r="K128" s="47">
        <f t="shared" ca="1" si="104"/>
        <v>100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168" t="s">
        <v>55</v>
      </c>
      <c r="E129" s="146"/>
      <c r="F129" s="146"/>
      <c r="G129" s="144"/>
      <c r="H129" s="134" t="s">
        <v>35</v>
      </c>
      <c r="I129" s="153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9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225)</f>
        <v>225</v>
      </c>
      <c r="K129" s="47">
        <f t="shared" ca="1" si="104"/>
        <v>100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46"/>
      <c r="E130" s="146"/>
      <c r="F130" s="146"/>
      <c r="G130" s="144"/>
      <c r="H130" s="134" t="s">
        <v>54</v>
      </c>
      <c r="I130" s="153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15)</f>
        <v>15</v>
      </c>
      <c r="J130" s="169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15)</f>
        <v>15</v>
      </c>
      <c r="K130" s="47">
        <f t="shared" ca="1" si="104"/>
        <v>100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46"/>
      <c r="F131" s="146"/>
      <c r="G131" s="144"/>
      <c r="H131" s="159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46"/>
      <c r="F132" s="146"/>
      <c r="G132" s="144"/>
      <c r="H132" s="194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27" t="s">
        <v>61</v>
      </c>
      <c r="I136" s="128">
        <f t="shared" ref="I136:J136" ca="1" si="105">I154</f>
        <v>5</v>
      </c>
      <c r="J136" s="128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27" t="s">
        <v>35</v>
      </c>
      <c r="I137" s="128">
        <f t="shared" ref="I137:J137" ca="1" si="107">I152</f>
        <v>200</v>
      </c>
      <c r="J137" s="128">
        <f t="shared" ca="1" si="107"/>
        <v>200</v>
      </c>
      <c r="K137" s="35">
        <f t="shared" ca="1" si="106"/>
        <v>100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ref="I138:J138" ca="1" si="108">I153</f>
        <v>20</v>
      </c>
      <c r="J138" s="128">
        <f t="shared" ca="1" si="108"/>
        <v>20</v>
      </c>
      <c r="K138" s="35">
        <f t="shared" ca="1" si="106"/>
        <v>100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41"/>
      <c r="C139" s="130" t="s">
        <v>18</v>
      </c>
      <c r="D139" s="131" t="s">
        <v>19</v>
      </c>
      <c r="E139" s="41"/>
      <c r="F139" s="41"/>
      <c r="G139" s="43"/>
      <c r="H139" s="132" t="s">
        <v>14</v>
      </c>
      <c r="I139" s="45"/>
      <c r="J139" s="45"/>
      <c r="K139" s="46"/>
      <c r="L139" s="133">
        <f t="shared" ref="L139:N139" ca="1" si="109">L140+L141</f>
        <v>597100</v>
      </c>
      <c r="M139" s="133">
        <f t="shared" ca="1" si="109"/>
        <v>562100</v>
      </c>
      <c r="N139" s="133">
        <f t="shared" ca="1" si="109"/>
        <v>527424.79</v>
      </c>
      <c r="O139" s="133">
        <f t="shared" ref="O139:O147" ca="1" si="110">IF(L139&gt;0,N139*100/L139,0)</f>
        <v>88.331065148216382</v>
      </c>
      <c r="P139" s="133">
        <f t="shared" ref="P139:P147" ca="1" si="111">IF(M139&gt;0,N139*100/M139,0)</f>
        <v>93.831131471268463</v>
      </c>
      <c r="Q139" s="133">
        <f t="shared" ref="Q139:S139" ca="1" si="112">Q140+Q141</f>
        <v>959020</v>
      </c>
      <c r="R139" s="133">
        <f t="shared" ca="1" si="112"/>
        <v>923960</v>
      </c>
      <c r="S139" s="133">
        <f t="shared" ca="1" si="112"/>
        <v>160360</v>
      </c>
      <c r="T139" s="133">
        <f t="shared" ref="T139:T147" ca="1" si="113">IF(Q139&gt;0,S139*100/Q139,0)</f>
        <v>16.721236262017477</v>
      </c>
      <c r="U139" s="133">
        <f t="shared" ref="U139:U147" ca="1" si="114">IF(R139&gt;0,S139*100/R139,0)</f>
        <v>17.355729685267761</v>
      </c>
    </row>
    <row r="140" spans="1:21" ht="18.75" hidden="1" x14ac:dyDescent="0.25">
      <c r="A140" s="129"/>
      <c r="B140" s="41"/>
      <c r="C140" s="41"/>
      <c r="D140" s="41"/>
      <c r="E140" s="48" t="s">
        <v>20</v>
      </c>
      <c r="F140" s="41"/>
      <c r="G140" s="43"/>
      <c r="H140" s="134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hidden="1" x14ac:dyDescent="0.25">
      <c r="A141" s="129"/>
      <c r="B141" s="41"/>
      <c r="C141" s="41"/>
      <c r="D141" s="41"/>
      <c r="E141" s="48" t="s">
        <v>21</v>
      </c>
      <c r="F141" s="41"/>
      <c r="G141" s="43"/>
      <c r="H141" s="134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527424.79</v>
      </c>
      <c r="O141" s="47">
        <f t="shared" ca="1" si="110"/>
        <v>88.331065148216382</v>
      </c>
      <c r="P141" s="47">
        <f t="shared" ca="1" si="111"/>
        <v>93.831131471268463</v>
      </c>
      <c r="Q141" s="47">
        <f t="shared" ref="Q141:S141" ca="1" si="118">Q144+Q147</f>
        <v>959020</v>
      </c>
      <c r="R141" s="47">
        <f t="shared" ca="1" si="118"/>
        <v>923960</v>
      </c>
      <c r="S141" s="47">
        <f t="shared" ca="1" si="118"/>
        <v>160360</v>
      </c>
      <c r="T141" s="47">
        <f t="shared" ca="1" si="113"/>
        <v>16.721236262017477</v>
      </c>
      <c r="U141" s="47">
        <f t="shared" ca="1" si="114"/>
        <v>17.355729685267761</v>
      </c>
    </row>
    <row r="142" spans="1:21" ht="18.75" x14ac:dyDescent="0.25">
      <c r="A142" s="129"/>
      <c r="B142" s="41"/>
      <c r="C142" s="41"/>
      <c r="D142" s="42" t="s">
        <v>22</v>
      </c>
      <c r="E142" s="41"/>
      <c r="F142" s="41"/>
      <c r="G142" s="43"/>
      <c r="H142" s="135" t="s">
        <v>14</v>
      </c>
      <c r="I142" s="136"/>
      <c r="J142" s="136"/>
      <c r="K142" s="137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527424.79</v>
      </c>
      <c r="O142" s="47">
        <f t="shared" ca="1" si="110"/>
        <v>88.331065148216382</v>
      </c>
      <c r="P142" s="47">
        <f t="shared" ca="1" si="111"/>
        <v>93.831131471268463</v>
      </c>
      <c r="Q142" s="47">
        <f t="shared" ref="Q142:S142" ca="1" si="120">Q143+Q144</f>
        <v>309020</v>
      </c>
      <c r="R142" s="47">
        <f t="shared" ca="1" si="120"/>
        <v>273960</v>
      </c>
      <c r="S142" s="47">
        <f t="shared" ca="1" si="120"/>
        <v>160360</v>
      </c>
      <c r="T142" s="47">
        <f t="shared" ca="1" si="113"/>
        <v>51.893081353957676</v>
      </c>
      <c r="U142" s="47">
        <f t="shared" ca="1" si="114"/>
        <v>58.534092568258139</v>
      </c>
    </row>
    <row r="143" spans="1:21" ht="18.75" hidden="1" x14ac:dyDescent="0.25">
      <c r="A143" s="129"/>
      <c r="B143" s="41"/>
      <c r="C143" s="41"/>
      <c r="D143" s="41"/>
      <c r="E143" s="48" t="s">
        <v>36</v>
      </c>
      <c r="F143" s="41"/>
      <c r="G143" s="43"/>
      <c r="H143" s="135" t="s">
        <v>14</v>
      </c>
      <c r="I143" s="136"/>
      <c r="J143" s="136"/>
      <c r="K143" s="137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hidden="1" x14ac:dyDescent="0.25">
      <c r="A144" s="129"/>
      <c r="B144" s="41"/>
      <c r="C144" s="41"/>
      <c r="D144" s="41"/>
      <c r="E144" s="48" t="s">
        <v>37</v>
      </c>
      <c r="F144" s="41"/>
      <c r="G144" s="43"/>
      <c r="H144" s="135" t="s">
        <v>14</v>
      </c>
      <c r="I144" s="136"/>
      <c r="J144" s="136"/>
      <c r="K144" s="137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527424.79)</f>
        <v>527424.79</v>
      </c>
      <c r="O144" s="47">
        <f t="shared" ca="1" si="110"/>
        <v>88.331065148216382</v>
      </c>
      <c r="P144" s="47">
        <f t="shared" ca="1" si="111"/>
        <v>93.831131471268463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309020)</f>
        <v>309020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273960)</f>
        <v>273960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160360)</f>
        <v>160360</v>
      </c>
      <c r="T144" s="47">
        <f t="shared" ca="1" si="113"/>
        <v>51.893081353957676</v>
      </c>
      <c r="U144" s="47">
        <f t="shared" ca="1" si="114"/>
        <v>58.534092568258139</v>
      </c>
    </row>
    <row r="145" spans="1:21" ht="18.75" x14ac:dyDescent="0.25">
      <c r="A145" s="129"/>
      <c r="B145" s="41"/>
      <c r="C145" s="41"/>
      <c r="D145" s="42" t="s">
        <v>23</v>
      </c>
      <c r="E145" s="41"/>
      <c r="F145" s="41"/>
      <c r="G145" s="43"/>
      <c r="H145" s="138" t="s">
        <v>14</v>
      </c>
      <c r="I145" s="136"/>
      <c r="J145" s="136"/>
      <c r="K145" s="137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650000</v>
      </c>
      <c r="R145" s="47">
        <f t="shared" ca="1" si="122"/>
        <v>650000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hidden="1" x14ac:dyDescent="0.25">
      <c r="A146" s="129"/>
      <c r="B146" s="41"/>
      <c r="C146" s="41"/>
      <c r="D146" s="41"/>
      <c r="E146" s="48" t="s">
        <v>20</v>
      </c>
      <c r="F146" s="41"/>
      <c r="G146" s="43"/>
      <c r="H146" s="135" t="s">
        <v>14</v>
      </c>
      <c r="I146" s="136"/>
      <c r="J146" s="136"/>
      <c r="K146" s="137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hidden="1" x14ac:dyDescent="0.25">
      <c r="A147" s="129"/>
      <c r="B147" s="41"/>
      <c r="C147" s="41"/>
      <c r="D147" s="41"/>
      <c r="E147" s="48" t="s">
        <v>21</v>
      </c>
      <c r="F147" s="41"/>
      <c r="G147" s="43"/>
      <c r="H147" s="138" t="s">
        <v>14</v>
      </c>
      <c r="I147" s="136"/>
      <c r="J147" s="136"/>
      <c r="K147" s="137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650000)</f>
        <v>650000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650000)</f>
        <v>650000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9"/>
      <c r="B148" s="140"/>
      <c r="C148" s="130" t="s">
        <v>18</v>
      </c>
      <c r="D148" s="141" t="s">
        <v>38</v>
      </c>
      <c r="E148" s="142"/>
      <c r="F148" s="142"/>
      <c r="G148" s="143"/>
      <c r="H148" s="192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41"/>
      <c r="C149" s="41"/>
      <c r="D149" s="48" t="s">
        <v>63</v>
      </c>
      <c r="E149" s="41"/>
      <c r="F149" s="41"/>
      <c r="G149" s="43"/>
      <c r="H149" s="192"/>
      <c r="I149" s="45"/>
      <c r="J149" s="153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41"/>
      <c r="C150" s="41"/>
      <c r="D150" s="146"/>
      <c r="E150" s="199" t="s">
        <v>64</v>
      </c>
      <c r="F150" s="41"/>
      <c r="G150" s="43"/>
      <c r="H150" s="138" t="s">
        <v>35</v>
      </c>
      <c r="I150" s="153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3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50)</f>
        <v>50</v>
      </c>
      <c r="K150" s="47">
        <f t="shared" ref="K150:K154" ca="1" si="123">IF(I150&gt;0,J150*100/I150,0)</f>
        <v>100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41"/>
      <c r="C151" s="41"/>
      <c r="D151" s="146"/>
      <c r="E151" s="41"/>
      <c r="F151" s="41"/>
      <c r="G151" s="43"/>
      <c r="H151" s="138" t="s">
        <v>54</v>
      </c>
      <c r="I151" s="153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3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5)</f>
        <v>5</v>
      </c>
      <c r="K151" s="47">
        <f t="shared" ca="1" si="123"/>
        <v>100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41"/>
      <c r="C152" s="41"/>
      <c r="D152" s="146"/>
      <c r="E152" s="199" t="s">
        <v>65</v>
      </c>
      <c r="F152" s="41"/>
      <c r="G152" s="43"/>
      <c r="H152" s="138" t="s">
        <v>35</v>
      </c>
      <c r="I152" s="153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3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200)</f>
        <v>200</v>
      </c>
      <c r="K152" s="47">
        <f t="shared" ca="1" si="123"/>
        <v>100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41"/>
      <c r="C153" s="41"/>
      <c r="D153" s="41"/>
      <c r="E153" s="200"/>
      <c r="F153" s="41"/>
      <c r="G153" s="43"/>
      <c r="H153" s="138" t="s">
        <v>54</v>
      </c>
      <c r="I153" s="153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3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20)</f>
        <v>20</v>
      </c>
      <c r="K153" s="47">
        <f t="shared" ca="1" si="123"/>
        <v>100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41"/>
      <c r="C154" s="41"/>
      <c r="D154" s="48" t="s">
        <v>66</v>
      </c>
      <c r="E154" s="41"/>
      <c r="F154" s="41"/>
      <c r="G154" s="43"/>
      <c r="H154" s="138" t="s">
        <v>61</v>
      </c>
      <c r="I154" s="153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3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ca="1">I167</f>
        <v>30</v>
      </c>
      <c r="J156" s="128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9"/>
      <c r="B157" s="41"/>
      <c r="C157" s="130" t="s">
        <v>18</v>
      </c>
      <c r="D157" s="131" t="s">
        <v>19</v>
      </c>
      <c r="E157" s="41"/>
      <c r="F157" s="41"/>
      <c r="G157" s="43"/>
      <c r="H157" s="132" t="s">
        <v>14</v>
      </c>
      <c r="I157" s="45"/>
      <c r="J157" s="45"/>
      <c r="K157" s="46"/>
      <c r="L157" s="133">
        <f t="shared" ref="L157:N157" ca="1" si="124">L158+L159</f>
        <v>9000</v>
      </c>
      <c r="M157" s="133">
        <f t="shared" ca="1" si="124"/>
        <v>13920</v>
      </c>
      <c r="N157" s="133">
        <f t="shared" ca="1" si="124"/>
        <v>13920</v>
      </c>
      <c r="O157" s="133">
        <f t="shared" ref="O157:O165" ca="1" si="125">IF(L157&gt;0,N157*100/L157,0)</f>
        <v>154.66666666666666</v>
      </c>
      <c r="P157" s="133">
        <f t="shared" ref="P157:P165" ca="1" si="126">IF(M157&gt;0,N157*100/M157,0)</f>
        <v>100</v>
      </c>
      <c r="Q157" s="133">
        <f t="shared" ref="Q157:S157" ca="1" si="127">Q158+Q159</f>
        <v>0</v>
      </c>
      <c r="R157" s="133">
        <f t="shared" ca="1" si="127"/>
        <v>0</v>
      </c>
      <c r="S157" s="133">
        <f t="shared" ca="1" si="127"/>
        <v>0</v>
      </c>
      <c r="T157" s="133">
        <f t="shared" ref="T157:T165" ca="1" si="128">IF(Q157&gt;0,S157*100/Q157,0)</f>
        <v>0</v>
      </c>
      <c r="U157" s="133">
        <f t="shared" ref="U157:U165" ca="1" si="129">IF(R157&gt;0,S157*100/R157,0)</f>
        <v>0</v>
      </c>
    </row>
    <row r="158" spans="1:21" ht="18.75" hidden="1" x14ac:dyDescent="0.25">
      <c r="A158" s="129"/>
      <c r="B158" s="41"/>
      <c r="C158" s="41"/>
      <c r="D158" s="41"/>
      <c r="E158" s="48" t="s">
        <v>20</v>
      </c>
      <c r="F158" s="41"/>
      <c r="G158" s="43"/>
      <c r="H158" s="134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hidden="1" x14ac:dyDescent="0.25">
      <c r="A159" s="129"/>
      <c r="B159" s="41"/>
      <c r="C159" s="41"/>
      <c r="D159" s="41"/>
      <c r="E159" s="48" t="s">
        <v>21</v>
      </c>
      <c r="F159" s="41"/>
      <c r="G159" s="43"/>
      <c r="H159" s="134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13920</v>
      </c>
      <c r="N159" s="47">
        <f t="shared" ca="1" si="132"/>
        <v>13920</v>
      </c>
      <c r="O159" s="47">
        <f t="shared" ca="1" si="125"/>
        <v>154.66666666666666</v>
      </c>
      <c r="P159" s="47">
        <f t="shared" ca="1" si="126"/>
        <v>100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9"/>
      <c r="B160" s="41"/>
      <c r="C160" s="41"/>
      <c r="D160" s="42" t="s">
        <v>22</v>
      </c>
      <c r="E160" s="41"/>
      <c r="F160" s="41"/>
      <c r="G160" s="43"/>
      <c r="H160" s="135" t="s">
        <v>14</v>
      </c>
      <c r="I160" s="136"/>
      <c r="J160" s="136"/>
      <c r="K160" s="137"/>
      <c r="L160" s="47">
        <f t="shared" ref="L160:N160" ca="1" si="134">L161+L162</f>
        <v>9000</v>
      </c>
      <c r="M160" s="47">
        <f t="shared" ca="1" si="134"/>
        <v>13920</v>
      </c>
      <c r="N160" s="47">
        <f t="shared" ca="1" si="134"/>
        <v>13920</v>
      </c>
      <c r="O160" s="47">
        <f t="shared" ca="1" si="125"/>
        <v>154.66666666666666</v>
      </c>
      <c r="P160" s="47">
        <f t="shared" ca="1" si="126"/>
        <v>100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hidden="1" x14ac:dyDescent="0.25">
      <c r="A161" s="129"/>
      <c r="B161" s="41"/>
      <c r="C161" s="41"/>
      <c r="D161" s="41"/>
      <c r="E161" s="48" t="s">
        <v>36</v>
      </c>
      <c r="F161" s="41"/>
      <c r="G161" s="43"/>
      <c r="H161" s="135" t="s">
        <v>14</v>
      </c>
      <c r="I161" s="136"/>
      <c r="J161" s="136"/>
      <c r="K161" s="137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hidden="1" x14ac:dyDescent="0.25">
      <c r="A162" s="129"/>
      <c r="B162" s="41"/>
      <c r="C162" s="41"/>
      <c r="D162" s="41"/>
      <c r="E162" s="48" t="s">
        <v>37</v>
      </c>
      <c r="F162" s="41"/>
      <c r="G162" s="43"/>
      <c r="H162" s="135" t="s">
        <v>14</v>
      </c>
      <c r="I162" s="136"/>
      <c r="J162" s="136"/>
      <c r="K162" s="137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13920)</f>
        <v>13920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13920)</f>
        <v>13920</v>
      </c>
      <c r="O162" s="47">
        <f t="shared" ca="1" si="125"/>
        <v>154.66666666666666</v>
      </c>
      <c r="P162" s="47">
        <f t="shared" ca="1" si="126"/>
        <v>100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9"/>
      <c r="B163" s="41"/>
      <c r="C163" s="41"/>
      <c r="D163" s="42" t="s">
        <v>23</v>
      </c>
      <c r="E163" s="41"/>
      <c r="F163" s="41"/>
      <c r="G163" s="43"/>
      <c r="H163" s="138" t="s">
        <v>14</v>
      </c>
      <c r="I163" s="136"/>
      <c r="J163" s="136"/>
      <c r="K163" s="137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hidden="1" x14ac:dyDescent="0.25">
      <c r="A164" s="129"/>
      <c r="B164" s="41"/>
      <c r="C164" s="41"/>
      <c r="D164" s="41"/>
      <c r="E164" s="48" t="s">
        <v>20</v>
      </c>
      <c r="F164" s="41"/>
      <c r="G164" s="43"/>
      <c r="H164" s="135" t="s">
        <v>14</v>
      </c>
      <c r="I164" s="136"/>
      <c r="J164" s="136"/>
      <c r="K164" s="137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hidden="1" x14ac:dyDescent="0.25">
      <c r="A165" s="129"/>
      <c r="B165" s="41"/>
      <c r="C165" s="41"/>
      <c r="D165" s="41"/>
      <c r="E165" s="48" t="s">
        <v>21</v>
      </c>
      <c r="F165" s="41"/>
      <c r="G165" s="43"/>
      <c r="H165" s="138" t="s">
        <v>14</v>
      </c>
      <c r="I165" s="136"/>
      <c r="J165" s="136"/>
      <c r="K165" s="137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9"/>
      <c r="B166" s="140"/>
      <c r="C166" s="130" t="s">
        <v>18</v>
      </c>
      <c r="D166" s="141" t="s">
        <v>38</v>
      </c>
      <c r="E166" s="142"/>
      <c r="F166" s="142"/>
      <c r="G166" s="143"/>
      <c r="H166" s="192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9"/>
      <c r="B167" s="41"/>
      <c r="C167" s="41"/>
      <c r="D167" s="201" t="s">
        <v>69</v>
      </c>
      <c r="E167" s="41"/>
      <c r="F167" s="41"/>
      <c r="G167" s="43"/>
      <c r="H167" s="138" t="s">
        <v>35</v>
      </c>
      <c r="I167" s="153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3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41"/>
      <c r="C168" s="41"/>
      <c r="D168" s="201" t="s">
        <v>70</v>
      </c>
      <c r="E168" s="41"/>
      <c r="F168" s="41"/>
      <c r="G168" s="43"/>
      <c r="H168" s="138" t="s">
        <v>35</v>
      </c>
      <c r="I168" s="153">
        <f t="shared" ref="I168:I169" ca="1" si="139">I167</f>
        <v>30</v>
      </c>
      <c r="J168" s="153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203" t="s">
        <v>71</v>
      </c>
      <c r="E169" s="1"/>
      <c r="F169" s="1"/>
      <c r="G169" s="53"/>
      <c r="H169" s="204" t="s">
        <v>35</v>
      </c>
      <c r="I169" s="205">
        <f t="shared" ca="1" si="139"/>
        <v>30</v>
      </c>
      <c r="J169" s="205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219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40">I183+I184</f>
        <v>172</v>
      </c>
      <c r="J172" s="222">
        <f t="shared" ca="1" si="140"/>
        <v>102</v>
      </c>
      <c r="K172" s="223">
        <f ca="1">IF(I172&gt;0,J172*100/I172,0)</f>
        <v>59.302325581395351</v>
      </c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41"/>
      <c r="C173" s="130" t="s">
        <v>18</v>
      </c>
      <c r="D173" s="131" t="s">
        <v>19</v>
      </c>
      <c r="E173" s="41"/>
      <c r="F173" s="41"/>
      <c r="G173" s="43"/>
      <c r="H173" s="132" t="s">
        <v>14</v>
      </c>
      <c r="I173" s="45"/>
      <c r="J173" s="45"/>
      <c r="K173" s="46"/>
      <c r="L173" s="133">
        <f t="shared" ref="L173:N173" ca="1" si="141">L174+L175</f>
        <v>215490</v>
      </c>
      <c r="M173" s="133">
        <f t="shared" ca="1" si="141"/>
        <v>438690</v>
      </c>
      <c r="N173" s="133">
        <f t="shared" ca="1" si="141"/>
        <v>436880</v>
      </c>
      <c r="O173" s="133">
        <f t="shared" ref="O173:O181" ca="1" si="142">IF(L173&gt;0,N173*100/L173,0)</f>
        <v>202.73794607638405</v>
      </c>
      <c r="P173" s="133">
        <f t="shared" ref="P173:P181" ca="1" si="143">IF(M173&gt;0,N173*100/M173,0)</f>
        <v>99.587407964621946</v>
      </c>
      <c r="Q173" s="133">
        <f t="shared" ref="Q173:S173" ca="1" si="144">Q174+Q175</f>
        <v>64480</v>
      </c>
      <c r="R173" s="133">
        <f t="shared" ca="1" si="144"/>
        <v>64480</v>
      </c>
      <c r="S173" s="133">
        <f t="shared" ca="1" si="144"/>
        <v>61320</v>
      </c>
      <c r="T173" s="133">
        <f t="shared" ref="T173:T181" ca="1" si="145">IF(Q173&gt;0,S173*100/Q173,0)</f>
        <v>95.099255583126549</v>
      </c>
      <c r="U173" s="133">
        <f t="shared" ref="U173:U181" ca="1" si="146">IF(R173&gt;0,S173*100/R173,0)</f>
        <v>95.099255583126549</v>
      </c>
    </row>
    <row r="174" spans="1:21" ht="18.75" hidden="1" x14ac:dyDescent="0.25">
      <c r="A174" s="129"/>
      <c r="B174" s="41"/>
      <c r="C174" s="41"/>
      <c r="D174" s="41"/>
      <c r="E174" s="48" t="s">
        <v>20</v>
      </c>
      <c r="F174" s="41"/>
      <c r="G174" s="43"/>
      <c r="H174" s="134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hidden="1" x14ac:dyDescent="0.25">
      <c r="A175" s="129"/>
      <c r="B175" s="41"/>
      <c r="C175" s="41"/>
      <c r="D175" s="41"/>
      <c r="E175" s="48" t="s">
        <v>21</v>
      </c>
      <c r="F175" s="41"/>
      <c r="G175" s="43"/>
      <c r="H175" s="134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436880</v>
      </c>
      <c r="O175" s="47">
        <f t="shared" ca="1" si="142"/>
        <v>202.73794607638405</v>
      </c>
      <c r="P175" s="47">
        <f t="shared" ca="1" si="143"/>
        <v>99.587407964621946</v>
      </c>
      <c r="Q175" s="47">
        <f t="shared" ref="Q175:S175" ca="1" si="150">Q178+Q181</f>
        <v>64480</v>
      </c>
      <c r="R175" s="47">
        <f t="shared" ca="1" si="150"/>
        <v>64480</v>
      </c>
      <c r="S175" s="47">
        <f t="shared" ca="1" si="150"/>
        <v>61320</v>
      </c>
      <c r="T175" s="47">
        <f t="shared" ca="1" si="145"/>
        <v>95.099255583126549</v>
      </c>
      <c r="U175" s="47">
        <f t="shared" ca="1" si="146"/>
        <v>95.099255583126549</v>
      </c>
    </row>
    <row r="176" spans="1:21" ht="18.75" x14ac:dyDescent="0.25">
      <c r="A176" s="129"/>
      <c r="B176" s="41"/>
      <c r="C176" s="41"/>
      <c r="D176" s="42" t="s">
        <v>22</v>
      </c>
      <c r="E176" s="41"/>
      <c r="F176" s="41"/>
      <c r="G176" s="43"/>
      <c r="H176" s="135" t="s">
        <v>14</v>
      </c>
      <c r="I176" s="136"/>
      <c r="J176" s="136"/>
      <c r="K176" s="137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436880</v>
      </c>
      <c r="O176" s="47">
        <f t="shared" ca="1" si="142"/>
        <v>202.73794607638405</v>
      </c>
      <c r="P176" s="47">
        <f t="shared" ca="1" si="143"/>
        <v>99.587407964621946</v>
      </c>
      <c r="Q176" s="47">
        <f t="shared" ref="Q176:S176" ca="1" si="152">Q177+Q178</f>
        <v>64480</v>
      </c>
      <c r="R176" s="47">
        <f t="shared" ca="1" si="152"/>
        <v>64480</v>
      </c>
      <c r="S176" s="47">
        <f t="shared" ca="1" si="152"/>
        <v>61320</v>
      </c>
      <c r="T176" s="47">
        <f t="shared" ca="1" si="145"/>
        <v>95.099255583126549</v>
      </c>
      <c r="U176" s="47">
        <f t="shared" ca="1" si="146"/>
        <v>95.099255583126549</v>
      </c>
    </row>
    <row r="177" spans="1:21" ht="18.75" hidden="1" x14ac:dyDescent="0.25">
      <c r="A177" s="129"/>
      <c r="B177" s="41"/>
      <c r="C177" s="41"/>
      <c r="D177" s="41"/>
      <c r="E177" s="48" t="s">
        <v>36</v>
      </c>
      <c r="F177" s="41"/>
      <c r="G177" s="43"/>
      <c r="H177" s="135" t="s">
        <v>14</v>
      </c>
      <c r="I177" s="136"/>
      <c r="J177" s="136"/>
      <c r="K177" s="137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hidden="1" x14ac:dyDescent="0.25">
      <c r="A178" s="129"/>
      <c r="B178" s="41"/>
      <c r="C178" s="41"/>
      <c r="D178" s="41"/>
      <c r="E178" s="48" t="s">
        <v>37</v>
      </c>
      <c r="F178" s="41"/>
      <c r="G178" s="43"/>
      <c r="H178" s="135" t="s">
        <v>14</v>
      </c>
      <c r="I178" s="136"/>
      <c r="J178" s="136"/>
      <c r="K178" s="137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436880)</f>
        <v>436880</v>
      </c>
      <c r="O178" s="47">
        <f t="shared" ca="1" si="142"/>
        <v>202.73794607638405</v>
      </c>
      <c r="P178" s="47">
        <f t="shared" ca="1" si="143"/>
        <v>99.587407964621946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64480)</f>
        <v>64480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64480)</f>
        <v>64480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61320)</f>
        <v>61320</v>
      </c>
      <c r="T178" s="47">
        <f t="shared" ca="1" si="145"/>
        <v>95.099255583126549</v>
      </c>
      <c r="U178" s="47">
        <f t="shared" ca="1" si="146"/>
        <v>95.099255583126549</v>
      </c>
    </row>
    <row r="179" spans="1:21" ht="18.75" x14ac:dyDescent="0.25">
      <c r="A179" s="129"/>
      <c r="B179" s="41"/>
      <c r="C179" s="41"/>
      <c r="D179" s="42" t="s">
        <v>23</v>
      </c>
      <c r="E179" s="41"/>
      <c r="F179" s="41"/>
      <c r="G179" s="43"/>
      <c r="H179" s="138" t="s">
        <v>14</v>
      </c>
      <c r="I179" s="136"/>
      <c r="J179" s="136"/>
      <c r="K179" s="137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hidden="1" x14ac:dyDescent="0.25">
      <c r="A180" s="129"/>
      <c r="B180" s="41"/>
      <c r="C180" s="41"/>
      <c r="D180" s="41"/>
      <c r="E180" s="48" t="s">
        <v>20</v>
      </c>
      <c r="F180" s="41"/>
      <c r="G180" s="43"/>
      <c r="H180" s="135" t="s">
        <v>14</v>
      </c>
      <c r="I180" s="136"/>
      <c r="J180" s="136"/>
      <c r="K180" s="137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hidden="1" x14ac:dyDescent="0.25">
      <c r="A181" s="129"/>
      <c r="B181" s="41"/>
      <c r="C181" s="41"/>
      <c r="D181" s="41"/>
      <c r="E181" s="48" t="s">
        <v>21</v>
      </c>
      <c r="F181" s="41"/>
      <c r="G181" s="43"/>
      <c r="H181" s="138" t="s">
        <v>14</v>
      </c>
      <c r="I181" s="136"/>
      <c r="J181" s="136"/>
      <c r="K181" s="137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9"/>
      <c r="B182" s="140"/>
      <c r="C182" s="130" t="s">
        <v>18</v>
      </c>
      <c r="D182" s="141" t="s">
        <v>38</v>
      </c>
      <c r="E182" s="142"/>
      <c r="F182" s="142"/>
      <c r="G182" s="143"/>
      <c r="H182" s="192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41"/>
      <c r="C183" s="160"/>
      <c r="D183" s="226" t="s">
        <v>75</v>
      </c>
      <c r="E183" s="41"/>
      <c r="F183" s="41"/>
      <c r="G183" s="43"/>
      <c r="H183" s="227" t="s">
        <v>35</v>
      </c>
      <c r="I183" s="153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3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102)</f>
        <v>102</v>
      </c>
      <c r="K183" s="47">
        <f t="shared" ref="K183:K185" ca="1" si="155">IF(I183&gt;0,J183*100/I183,0)</f>
        <v>100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25"/>
      <c r="B184" s="160"/>
      <c r="C184" s="160"/>
      <c r="D184" s="226" t="s">
        <v>76</v>
      </c>
      <c r="E184" s="41"/>
      <c r="F184" s="41"/>
      <c r="G184" s="43"/>
      <c r="H184" s="227" t="s">
        <v>35</v>
      </c>
      <c r="I184" s="153">
        <v>70</v>
      </c>
      <c r="J184" s="153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219" t="s">
        <v>77</v>
      </c>
      <c r="C185" s="220"/>
      <c r="D185" s="142"/>
      <c r="E185" s="142"/>
      <c r="F185" s="142"/>
      <c r="G185" s="143"/>
      <c r="H185" s="221" t="s">
        <v>35</v>
      </c>
      <c r="I185" s="228">
        <f t="shared" ref="I185:J185" ca="1" si="156">I230+I231</f>
        <v>0</v>
      </c>
      <c r="J185" s="228">
        <f t="shared" ca="1" si="156"/>
        <v>11</v>
      </c>
      <c r="K185" s="229">
        <f t="shared" ca="1" si="155"/>
        <v>0</v>
      </c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41"/>
      <c r="C186" s="130" t="s">
        <v>18</v>
      </c>
      <c r="D186" s="131" t="s">
        <v>19</v>
      </c>
      <c r="E186" s="41"/>
      <c r="F186" s="41"/>
      <c r="G186" s="43"/>
      <c r="H186" s="132" t="s">
        <v>14</v>
      </c>
      <c r="I186" s="45"/>
      <c r="J186" s="45"/>
      <c r="K186" s="46"/>
      <c r="L186" s="133">
        <f t="shared" ref="L186:N186" ca="1" si="157">L187+L188</f>
        <v>2562900</v>
      </c>
      <c r="M186" s="133">
        <f t="shared" ca="1" si="157"/>
        <v>2733315</v>
      </c>
      <c r="N186" s="133">
        <f t="shared" ca="1" si="157"/>
        <v>2611738.63</v>
      </c>
      <c r="O186" s="133">
        <f t="shared" ref="O186:O194" ca="1" si="158">IF(L186&gt;0,N186*100/L186,0)</f>
        <v>101.90560029653908</v>
      </c>
      <c r="P186" s="133">
        <f t="shared" ref="P186:P194" ca="1" si="159">IF(M186&gt;0,N186*100/M186,0)</f>
        <v>95.552054190607379</v>
      </c>
      <c r="Q186" s="133">
        <f t="shared" ref="Q186:S186" ca="1" si="160">Q187+Q188</f>
        <v>903000</v>
      </c>
      <c r="R186" s="133">
        <f t="shared" ca="1" si="160"/>
        <v>875000</v>
      </c>
      <c r="S186" s="133">
        <f t="shared" ca="1" si="160"/>
        <v>697460</v>
      </c>
      <c r="T186" s="133">
        <f t="shared" ref="T186:T194" ca="1" si="161">IF(Q186&gt;0,S186*100/Q186,0)</f>
        <v>77.238095238095241</v>
      </c>
      <c r="U186" s="133">
        <f t="shared" ref="U186:U194" ca="1" si="162">IF(R186&gt;0,S186*100/R186,0)</f>
        <v>79.709714285714284</v>
      </c>
    </row>
    <row r="187" spans="1:21" ht="18.75" hidden="1" x14ac:dyDescent="0.25">
      <c r="A187" s="129"/>
      <c r="B187" s="41"/>
      <c r="C187" s="41"/>
      <c r="D187" s="41"/>
      <c r="E187" s="48" t="s">
        <v>20</v>
      </c>
      <c r="F187" s="41"/>
      <c r="G187" s="43"/>
      <c r="H187" s="134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hidden="1" x14ac:dyDescent="0.25">
      <c r="A188" s="129"/>
      <c r="B188" s="41"/>
      <c r="C188" s="41"/>
      <c r="D188" s="41"/>
      <c r="E188" s="48" t="s">
        <v>21</v>
      </c>
      <c r="F188" s="41"/>
      <c r="G188" s="43"/>
      <c r="H188" s="134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2733315</v>
      </c>
      <c r="N188" s="47">
        <f t="shared" ca="1" si="165"/>
        <v>2611738.63</v>
      </c>
      <c r="O188" s="47">
        <f t="shared" ca="1" si="158"/>
        <v>101.90560029653908</v>
      </c>
      <c r="P188" s="47">
        <f t="shared" ca="1" si="159"/>
        <v>95.552054190607379</v>
      </c>
      <c r="Q188" s="47">
        <f t="shared" ref="Q188:S188" ca="1" si="166">Q191+Q194</f>
        <v>903000</v>
      </c>
      <c r="R188" s="47">
        <f t="shared" ca="1" si="166"/>
        <v>875000</v>
      </c>
      <c r="S188" s="47">
        <f t="shared" ca="1" si="166"/>
        <v>697460</v>
      </c>
      <c r="T188" s="47">
        <f t="shared" ca="1" si="161"/>
        <v>77.238095238095241</v>
      </c>
      <c r="U188" s="47">
        <f t="shared" ca="1" si="162"/>
        <v>79.709714285714284</v>
      </c>
    </row>
    <row r="189" spans="1:21" ht="18.75" x14ac:dyDescent="0.25">
      <c r="A189" s="129"/>
      <c r="B189" s="41"/>
      <c r="C189" s="41"/>
      <c r="D189" s="42" t="s">
        <v>22</v>
      </c>
      <c r="E189" s="41"/>
      <c r="F189" s="41"/>
      <c r="G189" s="43"/>
      <c r="H189" s="135" t="s">
        <v>14</v>
      </c>
      <c r="I189" s="136"/>
      <c r="J189" s="136"/>
      <c r="K189" s="137"/>
      <c r="L189" s="47">
        <f t="shared" ref="L189:N189" ca="1" si="167">L190+L191</f>
        <v>2562900</v>
      </c>
      <c r="M189" s="47">
        <f t="shared" ca="1" si="167"/>
        <v>2733315</v>
      </c>
      <c r="N189" s="47">
        <f t="shared" ca="1" si="167"/>
        <v>2611738.63</v>
      </c>
      <c r="O189" s="47">
        <f t="shared" ca="1" si="158"/>
        <v>101.90560029653908</v>
      </c>
      <c r="P189" s="47">
        <f t="shared" ca="1" si="159"/>
        <v>95.552054190607379</v>
      </c>
      <c r="Q189" s="47">
        <f t="shared" ref="Q189:S189" ca="1" si="168">Q190+Q191</f>
        <v>903000</v>
      </c>
      <c r="R189" s="47">
        <f t="shared" ca="1" si="168"/>
        <v>875000</v>
      </c>
      <c r="S189" s="47">
        <f t="shared" ca="1" si="168"/>
        <v>697460</v>
      </c>
      <c r="T189" s="47">
        <f t="shared" ca="1" si="161"/>
        <v>77.238095238095241</v>
      </c>
      <c r="U189" s="47">
        <f t="shared" ca="1" si="162"/>
        <v>79.709714285714284</v>
      </c>
    </row>
    <row r="190" spans="1:21" ht="18.75" hidden="1" x14ac:dyDescent="0.25">
      <c r="A190" s="129"/>
      <c r="B190" s="41"/>
      <c r="C190" s="41"/>
      <c r="D190" s="41"/>
      <c r="E190" s="48" t="s">
        <v>36</v>
      </c>
      <c r="F190" s="41"/>
      <c r="G190" s="43"/>
      <c r="H190" s="135" t="s">
        <v>14</v>
      </c>
      <c r="I190" s="136"/>
      <c r="J190" s="136"/>
      <c r="K190" s="137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hidden="1" x14ac:dyDescent="0.25">
      <c r="A191" s="129"/>
      <c r="B191" s="41"/>
      <c r="C191" s="41"/>
      <c r="D191" s="41"/>
      <c r="E191" s="48" t="s">
        <v>37</v>
      </c>
      <c r="F191" s="41"/>
      <c r="G191" s="43"/>
      <c r="H191" s="135" t="s">
        <v>14</v>
      </c>
      <c r="I191" s="136"/>
      <c r="J191" s="136"/>
      <c r="K191" s="137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2733315)</f>
        <v>2733315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2611738.63)</f>
        <v>2611738.63</v>
      </c>
      <c r="O191" s="47">
        <f t="shared" ca="1" si="158"/>
        <v>101.90560029653908</v>
      </c>
      <c r="P191" s="47">
        <f t="shared" ca="1" si="159"/>
        <v>95.552054190607379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875000)</f>
        <v>875000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697460)</f>
        <v>697460</v>
      </c>
      <c r="T191" s="47">
        <f t="shared" ca="1" si="161"/>
        <v>77.238095238095241</v>
      </c>
      <c r="U191" s="47">
        <f t="shared" ca="1" si="162"/>
        <v>79.709714285714284</v>
      </c>
    </row>
    <row r="192" spans="1:21" ht="18.75" x14ac:dyDescent="0.25">
      <c r="A192" s="129"/>
      <c r="B192" s="41"/>
      <c r="C192" s="41"/>
      <c r="D192" s="42" t="s">
        <v>23</v>
      </c>
      <c r="E192" s="41"/>
      <c r="F192" s="41"/>
      <c r="G192" s="43"/>
      <c r="H192" s="138" t="s">
        <v>14</v>
      </c>
      <c r="I192" s="136"/>
      <c r="J192" s="136"/>
      <c r="K192" s="137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hidden="1" x14ac:dyDescent="0.25">
      <c r="A193" s="129"/>
      <c r="B193" s="41"/>
      <c r="C193" s="41"/>
      <c r="D193" s="41"/>
      <c r="E193" s="48" t="s">
        <v>20</v>
      </c>
      <c r="F193" s="41"/>
      <c r="G193" s="43"/>
      <c r="H193" s="135" t="s">
        <v>14</v>
      </c>
      <c r="I193" s="136"/>
      <c r="J193" s="136"/>
      <c r="K193" s="137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hidden="1" x14ac:dyDescent="0.25">
      <c r="A194" s="129"/>
      <c r="B194" s="41"/>
      <c r="C194" s="41"/>
      <c r="D194" s="41"/>
      <c r="E194" s="48" t="s">
        <v>21</v>
      </c>
      <c r="F194" s="41"/>
      <c r="G194" s="43"/>
      <c r="H194" s="138" t="s">
        <v>14</v>
      </c>
      <c r="I194" s="136"/>
      <c r="J194" s="136"/>
      <c r="K194" s="137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71">I198</f>
        <v>56</v>
      </c>
      <c r="J195" s="236">
        <f t="shared" ca="1" si="171"/>
        <v>55</v>
      </c>
      <c r="K195" s="237">
        <f ca="1">IF(I195&gt;0,J195*100/I195,0)</f>
        <v>98.214285714285708</v>
      </c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41"/>
      <c r="C196" s="130" t="s">
        <v>18</v>
      </c>
      <c r="D196" s="239" t="s">
        <v>19</v>
      </c>
      <c r="E196" s="41"/>
      <c r="F196" s="41"/>
      <c r="G196" s="43"/>
      <c r="H196" s="240" t="s">
        <v>14</v>
      </c>
      <c r="I196" s="45"/>
      <c r="J196" s="45"/>
      <c r="K196" s="46"/>
      <c r="L196" s="133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3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3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125085)</f>
        <v>125085</v>
      </c>
      <c r="O196" s="133">
        <f ca="1">IF(L196&gt;0,N196*100/L196,0)</f>
        <v>148.91071428571428</v>
      </c>
      <c r="P196" s="46"/>
      <c r="Q196" s="133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3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3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9"/>
      <c r="B197" s="140"/>
      <c r="C197" s="130" t="s">
        <v>18</v>
      </c>
      <c r="D197" s="141" t="s">
        <v>38</v>
      </c>
      <c r="E197" s="142"/>
      <c r="F197" s="142"/>
      <c r="G197" s="143"/>
      <c r="H197" s="144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168" t="s">
        <v>80</v>
      </c>
      <c r="E198" s="146"/>
      <c r="F198" s="146"/>
      <c r="G198" s="144"/>
      <c r="H198" s="151" t="s">
        <v>79</v>
      </c>
      <c r="I198" s="153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3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55)</f>
        <v>55</v>
      </c>
      <c r="K198" s="47">
        <f ca="1">IF(I198&gt;0,J198*100/I198,0)</f>
        <v>98.214285714285708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9"/>
      <c r="B199" s="140"/>
      <c r="C199" s="140"/>
      <c r="D199" s="168" t="s">
        <v>81</v>
      </c>
      <c r="E199" s="146"/>
      <c r="F199" s="146"/>
      <c r="G199" s="144"/>
      <c r="H199" s="241" t="s">
        <v>35</v>
      </c>
      <c r="I199" s="45"/>
      <c r="J199" s="148">
        <f ca="1">J200+J201</f>
        <v>2067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168" t="s">
        <v>82</v>
      </c>
      <c r="F200" s="146"/>
      <c r="G200" s="144"/>
      <c r="H200" s="227" t="s">
        <v>35</v>
      </c>
      <c r="I200" s="45"/>
      <c r="J200" s="153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2067)</f>
        <v>2067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168" t="s">
        <v>83</v>
      </c>
      <c r="F201" s="146"/>
      <c r="G201" s="144"/>
      <c r="H201" s="227" t="s">
        <v>35</v>
      </c>
      <c r="I201" s="45"/>
      <c r="J201" s="153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242" t="s">
        <v>85</v>
      </c>
      <c r="I202" s="243">
        <f t="shared" ref="I202:J202" ca="1" si="172">I209</f>
        <v>30</v>
      </c>
      <c r="J202" s="243">
        <f t="shared" ca="1" si="172"/>
        <v>30</v>
      </c>
      <c r="K202" s="244">
        <f ca="1">IF(I202&gt;0,J202*100/I202,0)</f>
        <v>100</v>
      </c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41"/>
      <c r="C203" s="130" t="s">
        <v>18</v>
      </c>
      <c r="D203" s="239" t="s">
        <v>19</v>
      </c>
      <c r="E203" s="41"/>
      <c r="F203" s="41"/>
      <c r="G203" s="43"/>
      <c r="H203" s="240" t="s">
        <v>14</v>
      </c>
      <c r="I203" s="136"/>
      <c r="J203" s="136"/>
      <c r="K203" s="137"/>
      <c r="L203" s="133">
        <f t="shared" ref="L203:N203" ca="1" si="173">L204+L205+L206+L207</f>
        <v>176000</v>
      </c>
      <c r="M203" s="133">
        <f t="shared" ca="1" si="173"/>
        <v>0</v>
      </c>
      <c r="N203" s="133">
        <f t="shared" ca="1" si="173"/>
        <v>154332</v>
      </c>
      <c r="O203" s="133">
        <f ca="1">IF(L203&gt;0,N203*100/L203,0)</f>
        <v>87.688636363636363</v>
      </c>
      <c r="P203" s="46"/>
      <c r="Q203" s="133">
        <f t="shared" ref="Q203:S203" ca="1" si="174">Q204+Q205+Q206+Q207</f>
        <v>406000</v>
      </c>
      <c r="R203" s="133">
        <f t="shared" ca="1" si="174"/>
        <v>0</v>
      </c>
      <c r="S203" s="133">
        <f t="shared" ca="1" si="174"/>
        <v>280000</v>
      </c>
      <c r="T203" s="46"/>
      <c r="U203" s="46"/>
    </row>
    <row r="204" spans="1:21" ht="18.75" x14ac:dyDescent="0.25">
      <c r="A204" s="129"/>
      <c r="B204" s="160"/>
      <c r="C204" s="41"/>
      <c r="D204" s="48" t="s">
        <v>86</v>
      </c>
      <c r="E204" s="41"/>
      <c r="F204" s="41"/>
      <c r="G204" s="43"/>
      <c r="H204" s="135" t="s">
        <v>14</v>
      </c>
      <c r="I204" s="136"/>
      <c r="J204" s="136"/>
      <c r="K204" s="137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30000)</f>
        <v>30000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24737)</f>
        <v>24737</v>
      </c>
      <c r="O204" s="137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7"/>
      <c r="U204" s="46"/>
    </row>
    <row r="205" spans="1:21" ht="18.75" x14ac:dyDescent="0.25">
      <c r="A205" s="225"/>
      <c r="B205" s="160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7"/>
      <c r="P205" s="46"/>
      <c r="Q205" s="47">
        <v>0</v>
      </c>
      <c r="R205" s="47">
        <v>0</v>
      </c>
      <c r="S205" s="47">
        <v>0</v>
      </c>
      <c r="T205" s="137"/>
      <c r="U205" s="46"/>
    </row>
    <row r="206" spans="1:21" ht="18.75" x14ac:dyDescent="0.25">
      <c r="A206" s="225"/>
      <c r="B206" s="160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8000)</f>
        <v>8000</v>
      </c>
      <c r="O206" s="137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280000)</f>
        <v>280000</v>
      </c>
      <c r="T206" s="137"/>
      <c r="U206" s="46"/>
    </row>
    <row r="207" spans="1:21" ht="18.75" x14ac:dyDescent="0.25">
      <c r="A207" s="225"/>
      <c r="B207" s="160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138000)</f>
        <v>138000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121595)</f>
        <v>121595</v>
      </c>
      <c r="O207" s="137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7"/>
      <c r="U207" s="46"/>
    </row>
    <row r="208" spans="1:21" ht="19.5" x14ac:dyDescent="0.3">
      <c r="A208" s="139"/>
      <c r="B208" s="140"/>
      <c r="C208" s="130" t="s">
        <v>18</v>
      </c>
      <c r="D208" s="141" t="s">
        <v>38</v>
      </c>
      <c r="E208" s="142"/>
      <c r="F208" s="142"/>
      <c r="G208" s="143"/>
      <c r="H208" s="144"/>
      <c r="I208" s="136"/>
      <c r="J208" s="136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46"/>
      <c r="F209" s="146"/>
      <c r="G209" s="144"/>
      <c r="H209" s="245" t="s">
        <v>85</v>
      </c>
      <c r="I209" s="246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46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30)</f>
        <v>30</v>
      </c>
      <c r="K209" s="247">
        <f ca="1">IF(I209&gt;0,J209*100/I209,0)</f>
        <v>100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168" t="s">
        <v>50</v>
      </c>
      <c r="E210" s="146"/>
      <c r="F210" s="146"/>
      <c r="G210" s="144"/>
      <c r="H210" s="144"/>
      <c r="I210" s="45"/>
      <c r="J210" s="45"/>
      <c r="K210" s="137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46"/>
      <c r="E211" s="168" t="s">
        <v>91</v>
      </c>
      <c r="F211" s="146"/>
      <c r="G211" s="144"/>
      <c r="H211" s="245" t="s">
        <v>85</v>
      </c>
      <c r="I211" s="153">
        <v>0</v>
      </c>
      <c r="J211" s="246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30)</f>
        <v>30</v>
      </c>
      <c r="K211" s="154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46"/>
      <c r="E212" s="168" t="s">
        <v>92</v>
      </c>
      <c r="F212" s="146"/>
      <c r="G212" s="146"/>
      <c r="H212" s="248" t="s">
        <v>93</v>
      </c>
      <c r="I212" s="153">
        <v>0</v>
      </c>
      <c r="J212" s="246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4)</f>
        <v>4</v>
      </c>
      <c r="K212" s="154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30"/>
      <c r="B213" s="231"/>
      <c r="C213" s="232" t="s">
        <v>94</v>
      </c>
      <c r="D213" s="233"/>
      <c r="E213" s="233"/>
      <c r="F213" s="233"/>
      <c r="G213" s="234"/>
      <c r="H213" s="242" t="s">
        <v>85</v>
      </c>
      <c r="I213" s="243">
        <f t="shared" ref="I213:J213" ca="1" si="176">I220</f>
        <v>10</v>
      </c>
      <c r="J213" s="243">
        <f t="shared" ca="1" si="176"/>
        <v>10</v>
      </c>
      <c r="K213" s="244">
        <f t="shared" ca="1" si="175"/>
        <v>100</v>
      </c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</row>
    <row r="214" spans="1:21" ht="19.5" x14ac:dyDescent="0.3">
      <c r="A214" s="129"/>
      <c r="B214" s="41"/>
      <c r="C214" s="130" t="s">
        <v>18</v>
      </c>
      <c r="D214" s="239" t="s">
        <v>19</v>
      </c>
      <c r="E214" s="41"/>
      <c r="F214" s="41"/>
      <c r="G214" s="43"/>
      <c r="H214" s="240" t="s">
        <v>14</v>
      </c>
      <c r="I214" s="136"/>
      <c r="J214" s="136"/>
      <c r="K214" s="137"/>
      <c r="L214" s="133">
        <f t="shared" ref="L214:N214" ca="1" si="177">L215+L216+L217</f>
        <v>60000</v>
      </c>
      <c r="M214" s="133">
        <f t="shared" ca="1" si="177"/>
        <v>0</v>
      </c>
      <c r="N214" s="133">
        <f t="shared" ca="1" si="177"/>
        <v>47000</v>
      </c>
      <c r="O214" s="133">
        <f ca="1">IF(L214&gt;0,N214*100/L214,0)</f>
        <v>78.333333333333329</v>
      </c>
      <c r="P214" s="46"/>
      <c r="Q214" s="133">
        <f t="shared" ref="Q214:S214" ca="1" si="178">Q215+Q216+Q217</f>
        <v>497000</v>
      </c>
      <c r="R214" s="133">
        <f t="shared" ca="1" si="178"/>
        <v>0</v>
      </c>
      <c r="S214" s="133">
        <f t="shared" ca="1" si="178"/>
        <v>347900</v>
      </c>
      <c r="T214" s="46"/>
      <c r="U214" s="46"/>
    </row>
    <row r="215" spans="1:21" ht="18.75" x14ac:dyDescent="0.25">
      <c r="A215" s="129"/>
      <c r="B215" s="160"/>
      <c r="C215" s="41"/>
      <c r="D215" s="48" t="s">
        <v>86</v>
      </c>
      <c r="E215" s="41"/>
      <c r="F215" s="41"/>
      <c r="G215" s="43"/>
      <c r="H215" s="135" t="s">
        <v>14</v>
      </c>
      <c r="I215" s="136"/>
      <c r="J215" s="136"/>
      <c r="K215" s="137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10000)</f>
        <v>10000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7000)</f>
        <v>7000</v>
      </c>
      <c r="O215" s="137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7"/>
      <c r="U215" s="46"/>
    </row>
    <row r="216" spans="1:21" ht="18.75" x14ac:dyDescent="0.25">
      <c r="A216" s="225"/>
      <c r="B216" s="160"/>
      <c r="C216" s="160"/>
      <c r="D216" s="48" t="s">
        <v>95</v>
      </c>
      <c r="E216" s="41"/>
      <c r="F216" s="41"/>
      <c r="G216" s="43"/>
      <c r="H216" s="135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50000)</f>
        <v>50000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40000)</f>
        <v>40000</v>
      </c>
      <c r="O216" s="137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7"/>
      <c r="U216" s="46"/>
    </row>
    <row r="217" spans="1:21" ht="18.75" x14ac:dyDescent="0.25">
      <c r="A217" s="225"/>
      <c r="B217" s="160"/>
      <c r="C217" s="160"/>
      <c r="D217" s="48" t="s">
        <v>88</v>
      </c>
      <c r="E217" s="41"/>
      <c r="F217" s="41"/>
      <c r="G217" s="43"/>
      <c r="H217" s="135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7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347900)</f>
        <v>347900</v>
      </c>
      <c r="T217" s="137"/>
      <c r="U217" s="46"/>
    </row>
    <row r="218" spans="1:21" ht="19.5" x14ac:dyDescent="0.3">
      <c r="A218" s="139"/>
      <c r="B218" s="140"/>
      <c r="C218" s="163" t="s">
        <v>18</v>
      </c>
      <c r="D218" s="141" t="s">
        <v>38</v>
      </c>
      <c r="E218" s="142"/>
      <c r="F218" s="142"/>
      <c r="G218" s="143"/>
      <c r="H218" s="144"/>
      <c r="I218" s="136"/>
      <c r="J218" s="45"/>
      <c r="K218" s="46"/>
      <c r="L218" s="46"/>
      <c r="M218" s="46"/>
      <c r="N218" s="46"/>
      <c r="O218" s="137"/>
      <c r="P218" s="137"/>
      <c r="Q218" s="46"/>
      <c r="R218" s="46"/>
      <c r="S218" s="46"/>
      <c r="T218" s="137"/>
      <c r="U218" s="137"/>
    </row>
    <row r="219" spans="1:21" ht="18.75" x14ac:dyDescent="0.25">
      <c r="A219" s="139"/>
      <c r="B219" s="140"/>
      <c r="C219" s="140"/>
      <c r="D219" s="145" t="s">
        <v>96</v>
      </c>
      <c r="E219" s="146"/>
      <c r="F219" s="146"/>
      <c r="G219" s="144"/>
      <c r="H219" s="245" t="s">
        <v>85</v>
      </c>
      <c r="I219" s="246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46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10)</f>
        <v>10</v>
      </c>
      <c r="K219" s="249">
        <f t="shared" ref="K219:K221" ca="1" si="179">IF(I219&gt;0,J219*100/I219,0)</f>
        <v>100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9"/>
      <c r="B220" s="140"/>
      <c r="C220" s="140"/>
      <c r="D220" s="145" t="s">
        <v>97</v>
      </c>
      <c r="E220" s="146"/>
      <c r="F220" s="146"/>
      <c r="G220" s="144"/>
      <c r="H220" s="245" t="s">
        <v>85</v>
      </c>
      <c r="I220" s="246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46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10)</f>
        <v>10</v>
      </c>
      <c r="K220" s="249">
        <f t="shared" ca="1" si="179"/>
        <v>100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43">
        <f t="shared" ref="I221:J221" ca="1" si="180">I229</f>
        <v>239000</v>
      </c>
      <c r="J221" s="243">
        <f t="shared" ca="1" si="180"/>
        <v>201200</v>
      </c>
      <c r="K221" s="244">
        <f t="shared" ca="1" si="179"/>
        <v>84.18410041841004</v>
      </c>
      <c r="L221" s="238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41"/>
      <c r="C222" s="130" t="s">
        <v>18</v>
      </c>
      <c r="D222" s="239" t="s">
        <v>19</v>
      </c>
      <c r="E222" s="41"/>
      <c r="F222" s="41"/>
      <c r="G222" s="43"/>
      <c r="H222" s="240" t="s">
        <v>14</v>
      </c>
      <c r="I222" s="136"/>
      <c r="J222" s="136"/>
      <c r="K222" s="137"/>
      <c r="L222" s="133">
        <f t="shared" ref="L222:N222" ca="1" si="181">L223+L224+L225</f>
        <v>66500</v>
      </c>
      <c r="M222" s="133">
        <f t="shared" ca="1" si="181"/>
        <v>0</v>
      </c>
      <c r="N222" s="133">
        <f t="shared" ca="1" si="181"/>
        <v>53000</v>
      </c>
      <c r="O222" s="133">
        <f ca="1">IF(L222&gt;0,N222*100/L222,0)</f>
        <v>79.699248120300751</v>
      </c>
      <c r="P222" s="46"/>
      <c r="Q222" s="133">
        <f t="shared" ref="Q222:S222" ca="1" si="182">Q223+Q224+Q225</f>
        <v>0</v>
      </c>
      <c r="R222" s="133">
        <f t="shared" ca="1" si="182"/>
        <v>0</v>
      </c>
      <c r="S222" s="133">
        <f t="shared" ca="1" si="182"/>
        <v>0</v>
      </c>
      <c r="T222" s="46"/>
      <c r="U222" s="46"/>
    </row>
    <row r="223" spans="1:21" ht="18.75" x14ac:dyDescent="0.25">
      <c r="A223" s="129"/>
      <c r="B223" s="160"/>
      <c r="C223" s="41"/>
      <c r="D223" s="48" t="s">
        <v>86</v>
      </c>
      <c r="E223" s="41"/>
      <c r="F223" s="41"/>
      <c r="G223" s="43"/>
      <c r="H223" s="135" t="s">
        <v>14</v>
      </c>
      <c r="I223" s="136"/>
      <c r="J223" s="136"/>
      <c r="K223" s="137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32500)</f>
        <v>32500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24520)</f>
        <v>24520</v>
      </c>
      <c r="O223" s="137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7"/>
      <c r="U223" s="46"/>
    </row>
    <row r="224" spans="1:21" ht="18.75" x14ac:dyDescent="0.25">
      <c r="A224" s="225"/>
      <c r="B224" s="160"/>
      <c r="C224" s="160"/>
      <c r="D224" s="48" t="s">
        <v>100</v>
      </c>
      <c r="E224" s="41"/>
      <c r="F224" s="41"/>
      <c r="G224" s="43"/>
      <c r="H224" s="135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34000)</f>
        <v>34000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28480)</f>
        <v>28480</v>
      </c>
      <c r="O224" s="137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7"/>
      <c r="U224" s="46"/>
    </row>
    <row r="225" spans="1:21" ht="12.75" hidden="1" x14ac:dyDescent="0.2">
      <c r="A225" s="250"/>
      <c r="B225" s="251"/>
      <c r="C225" s="251"/>
      <c r="D225" s="252"/>
      <c r="E225" s="252"/>
      <c r="F225" s="252"/>
      <c r="G225" s="253"/>
      <c r="H225" s="254"/>
      <c r="I225" s="255"/>
      <c r="J225" s="255"/>
      <c r="K225" s="256"/>
      <c r="L225" s="256"/>
      <c r="M225" s="256"/>
      <c r="N225" s="256"/>
      <c r="O225" s="256"/>
      <c r="P225" s="256"/>
      <c r="Q225" s="256"/>
      <c r="R225" s="256"/>
      <c r="S225" s="256"/>
      <c r="T225" s="137"/>
      <c r="U225" s="46"/>
    </row>
    <row r="226" spans="1:21" ht="19.5" x14ac:dyDescent="0.3">
      <c r="A226" s="139"/>
      <c r="B226" s="140"/>
      <c r="C226" s="163" t="s">
        <v>18</v>
      </c>
      <c r="D226" s="141" t="s">
        <v>38</v>
      </c>
      <c r="E226" s="142"/>
      <c r="F226" s="142"/>
      <c r="G226" s="143"/>
      <c r="H226" s="144"/>
      <c r="I226" s="136"/>
      <c r="J226" s="136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48" t="s">
        <v>101</v>
      </c>
      <c r="E227" s="146"/>
      <c r="F227" s="146"/>
      <c r="G227" s="144"/>
      <c r="H227" s="144"/>
      <c r="I227" s="45"/>
      <c r="J227" s="45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46"/>
      <c r="G228" s="144"/>
      <c r="H228" s="151" t="s">
        <v>99</v>
      </c>
      <c r="I228" s="246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46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241200)</f>
        <v>241200</v>
      </c>
      <c r="K228" s="247">
        <f t="shared" ref="K228:K231" ca="1" si="183">IF(I228&gt;0,J228*100/I228,0)</f>
        <v>100.92050209205021</v>
      </c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46"/>
      <c r="G229" s="144"/>
      <c r="H229" s="151" t="s">
        <v>99</v>
      </c>
      <c r="I229" s="246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46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201200)</f>
        <v>201200</v>
      </c>
      <c r="K229" s="247">
        <f t="shared" ca="1" si="183"/>
        <v>84.18410041841004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48" t="s">
        <v>104</v>
      </c>
      <c r="E230" s="146"/>
      <c r="F230" s="146"/>
      <c r="G230" s="144"/>
      <c r="H230" s="151" t="s">
        <v>35</v>
      </c>
      <c r="I230" s="246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46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11)</f>
        <v>11</v>
      </c>
      <c r="K230" s="247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30"/>
      <c r="B231" s="231"/>
      <c r="C231" s="232" t="s">
        <v>105</v>
      </c>
      <c r="D231" s="233"/>
      <c r="E231" s="233"/>
      <c r="F231" s="233"/>
      <c r="G231" s="234"/>
      <c r="H231" s="235" t="s">
        <v>35</v>
      </c>
      <c r="I231" s="236">
        <f t="shared" ref="I231:J231" si="184">I242+I253</f>
        <v>0</v>
      </c>
      <c r="J231" s="236">
        <f t="shared" si="184"/>
        <v>0</v>
      </c>
      <c r="K231" s="237">
        <f t="shared" si="183"/>
        <v>0</v>
      </c>
      <c r="L231" s="238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x14ac:dyDescent="0.3">
      <c r="A232" s="129"/>
      <c r="B232" s="41"/>
      <c r="C232" s="130" t="s">
        <v>18</v>
      </c>
      <c r="D232" s="131" t="s">
        <v>19</v>
      </c>
      <c r="E232" s="41"/>
      <c r="F232" s="41"/>
      <c r="G232" s="43"/>
      <c r="H232" s="240" t="s">
        <v>14</v>
      </c>
      <c r="I232" s="136"/>
      <c r="J232" s="136"/>
      <c r="K232" s="137"/>
      <c r="L232" s="133">
        <f t="shared" ref="L232:N232" ca="1" si="185">L233+L234+L235+L236</f>
        <v>409600</v>
      </c>
      <c r="M232" s="133">
        <f t="shared" ca="1" si="185"/>
        <v>0</v>
      </c>
      <c r="N232" s="133">
        <f t="shared" ca="1" si="185"/>
        <v>407394.41000000003</v>
      </c>
      <c r="O232" s="133">
        <f ca="1">IF(L232&gt;0,N232*100/L232,0)</f>
        <v>99.461525878906244</v>
      </c>
      <c r="P232" s="46"/>
      <c r="Q232" s="133">
        <f t="shared" ref="Q232:S232" ca="1" si="186">Q233+Q234+Q235+Q236</f>
        <v>0</v>
      </c>
      <c r="R232" s="133">
        <f t="shared" ca="1" si="186"/>
        <v>0</v>
      </c>
      <c r="S232" s="133">
        <f t="shared" ca="1" si="186"/>
        <v>0</v>
      </c>
      <c r="T232" s="46"/>
      <c r="U232" s="46"/>
    </row>
    <row r="233" spans="1:21" ht="18.75" x14ac:dyDescent="0.25">
      <c r="A233" s="129"/>
      <c r="B233" s="160"/>
      <c r="C233" s="41"/>
      <c r="D233" s="48" t="s">
        <v>86</v>
      </c>
      <c r="E233" s="41"/>
      <c r="F233" s="41"/>
      <c r="G233" s="43"/>
      <c r="H233" s="135" t="s">
        <v>14</v>
      </c>
      <c r="I233" s="136"/>
      <c r="J233" s="136"/>
      <c r="K233" s="137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167000)</f>
        <v>167000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31526.4)</f>
        <v>31526.400000000001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25"/>
      <c r="B234" s="160"/>
      <c r="C234" s="160"/>
      <c r="D234" s="48" t="s">
        <v>88</v>
      </c>
      <c r="E234" s="41"/>
      <c r="F234" s="41"/>
      <c r="G234" s="43"/>
      <c r="H234" s="135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10000)</f>
        <v>10000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140400.01)</f>
        <v>140400.01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25"/>
      <c r="B235" s="160"/>
      <c r="C235" s="160"/>
      <c r="D235" s="48" t="s">
        <v>106</v>
      </c>
      <c r="E235" s="41"/>
      <c r="F235" s="41"/>
      <c r="G235" s="43"/>
      <c r="H235" s="135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92600)</f>
        <v>92600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92703)</f>
        <v>92703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25"/>
      <c r="B236" s="160"/>
      <c r="C236" s="160"/>
      <c r="D236" s="48" t="s">
        <v>107</v>
      </c>
      <c r="E236" s="41"/>
      <c r="F236" s="41"/>
      <c r="G236" s="43"/>
      <c r="H236" s="135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140000)</f>
        <v>140000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142765)</f>
        <v>142765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9"/>
      <c r="B237" s="140"/>
      <c r="C237" s="163" t="s">
        <v>18</v>
      </c>
      <c r="D237" s="141" t="s">
        <v>38</v>
      </c>
      <c r="E237" s="142"/>
      <c r="F237" s="142"/>
      <c r="G237" s="143"/>
      <c r="H237" s="144"/>
      <c r="I237" s="136"/>
      <c r="J237" s="45"/>
      <c r="K237" s="46"/>
      <c r="L237" s="46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x14ac:dyDescent="0.25">
      <c r="A238" s="139"/>
      <c r="B238" s="140"/>
      <c r="C238" s="140"/>
      <c r="D238" s="168" t="s">
        <v>108</v>
      </c>
      <c r="E238" s="146"/>
      <c r="F238" s="146"/>
      <c r="G238" s="144"/>
      <c r="H238" s="151" t="s">
        <v>35</v>
      </c>
      <c r="I238" s="153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110)</f>
        <v>110</v>
      </c>
      <c r="J238" s="153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113)</f>
        <v>113</v>
      </c>
      <c r="K238" s="47">
        <f ca="1">IF(I238&gt;0,J238*100/I238,0)</f>
        <v>102.72727272727273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9"/>
      <c r="B239" s="140"/>
      <c r="C239" s="140"/>
      <c r="D239" s="257" t="s">
        <v>43</v>
      </c>
      <c r="E239" s="146"/>
      <c r="F239" s="146"/>
      <c r="G239" s="144"/>
      <c r="H239" s="144"/>
      <c r="I239" s="45"/>
      <c r="J239" s="45"/>
      <c r="K239" s="46"/>
      <c r="L239" s="46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x14ac:dyDescent="0.25">
      <c r="A240" s="139"/>
      <c r="B240" s="140"/>
      <c r="C240" s="140"/>
      <c r="D240" s="140"/>
      <c r="E240" s="145" t="s">
        <v>109</v>
      </c>
      <c r="F240" s="146"/>
      <c r="G240" s="144"/>
      <c r="H240" s="151" t="s">
        <v>35</v>
      </c>
      <c r="I240" s="153">
        <v>0</v>
      </c>
      <c r="J240" s="153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110)</f>
        <v>110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9"/>
      <c r="B241" s="140"/>
      <c r="C241" s="140"/>
      <c r="D241" s="140"/>
      <c r="E241" s="145" t="s">
        <v>110</v>
      </c>
      <c r="F241" s="146"/>
      <c r="G241" s="144"/>
      <c r="H241" s="151" t="s">
        <v>61</v>
      </c>
      <c r="I241" s="153">
        <v>0</v>
      </c>
      <c r="J241" s="153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6)</f>
        <v>6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50"/>
      <c r="B242" s="251"/>
      <c r="C242" s="258" t="s">
        <v>111</v>
      </c>
      <c r="D242" s="252"/>
      <c r="E242" s="252"/>
      <c r="F242" s="252"/>
      <c r="G242" s="253"/>
      <c r="H242" s="259" t="s">
        <v>35</v>
      </c>
      <c r="I242" s="255"/>
      <c r="J242" s="255"/>
      <c r="K242" s="256"/>
      <c r="L242" s="256"/>
      <c r="M242" s="256"/>
      <c r="N242" s="256"/>
      <c r="O242" s="256"/>
      <c r="P242" s="256"/>
      <c r="Q242" s="256"/>
      <c r="R242" s="256"/>
      <c r="S242" s="256"/>
      <c r="T242" s="238"/>
      <c r="U242" s="238"/>
    </row>
    <row r="243" spans="1:21" ht="19.5" hidden="1" x14ac:dyDescent="0.3">
      <c r="A243" s="260"/>
      <c r="B243" s="252"/>
      <c r="C243" s="261" t="s">
        <v>18</v>
      </c>
      <c r="D243" s="262" t="s">
        <v>19</v>
      </c>
      <c r="E243" s="252"/>
      <c r="F243" s="252"/>
      <c r="G243" s="253"/>
      <c r="H243" s="263" t="s">
        <v>14</v>
      </c>
      <c r="I243" s="255"/>
      <c r="J243" s="255"/>
      <c r="K243" s="256"/>
      <c r="L243" s="256"/>
      <c r="M243" s="256"/>
      <c r="N243" s="256"/>
      <c r="O243" s="256"/>
      <c r="P243" s="256"/>
      <c r="Q243" s="256"/>
      <c r="R243" s="256"/>
      <c r="S243" s="256"/>
      <c r="T243" s="46"/>
      <c r="U243" s="46"/>
    </row>
    <row r="244" spans="1:21" ht="18.75" hidden="1" x14ac:dyDescent="0.25">
      <c r="A244" s="260"/>
      <c r="B244" s="251"/>
      <c r="C244" s="252"/>
      <c r="D244" s="264" t="s">
        <v>86</v>
      </c>
      <c r="E244" s="252"/>
      <c r="F244" s="252"/>
      <c r="G244" s="253"/>
      <c r="H244" s="265" t="s">
        <v>14</v>
      </c>
      <c r="I244" s="255"/>
      <c r="J244" s="255"/>
      <c r="K244" s="256"/>
      <c r="L244" s="256"/>
      <c r="M244" s="256"/>
      <c r="N244" s="256"/>
      <c r="O244" s="256"/>
      <c r="P244" s="256"/>
      <c r="Q244" s="256"/>
      <c r="R244" s="256"/>
      <c r="S244" s="256"/>
      <c r="T244" s="46"/>
      <c r="U244" s="46"/>
    </row>
    <row r="245" spans="1:21" ht="18.75" hidden="1" x14ac:dyDescent="0.25">
      <c r="A245" s="250"/>
      <c r="B245" s="251"/>
      <c r="C245" s="251"/>
      <c r="D245" s="264" t="s">
        <v>88</v>
      </c>
      <c r="E245" s="252"/>
      <c r="F245" s="252"/>
      <c r="G245" s="253"/>
      <c r="H245" s="265" t="s">
        <v>14</v>
      </c>
      <c r="I245" s="255"/>
      <c r="J245" s="255"/>
      <c r="K245" s="256"/>
      <c r="L245" s="256"/>
      <c r="M245" s="256"/>
      <c r="N245" s="256"/>
      <c r="O245" s="256"/>
      <c r="P245" s="256"/>
      <c r="Q245" s="256"/>
      <c r="R245" s="256"/>
      <c r="S245" s="256"/>
      <c r="T245" s="46"/>
      <c r="U245" s="46"/>
    </row>
    <row r="246" spans="1:21" ht="18.75" hidden="1" x14ac:dyDescent="0.25">
      <c r="A246" s="250"/>
      <c r="B246" s="251"/>
      <c r="C246" s="251"/>
      <c r="D246" s="264" t="s">
        <v>106</v>
      </c>
      <c r="E246" s="252"/>
      <c r="F246" s="252"/>
      <c r="G246" s="253"/>
      <c r="H246" s="265" t="s">
        <v>14</v>
      </c>
      <c r="I246" s="255"/>
      <c r="J246" s="255"/>
      <c r="K246" s="256"/>
      <c r="L246" s="256"/>
      <c r="M246" s="256"/>
      <c r="N246" s="256"/>
      <c r="O246" s="256"/>
      <c r="P246" s="256"/>
      <c r="Q246" s="256"/>
      <c r="R246" s="256"/>
      <c r="S246" s="256"/>
      <c r="T246" s="46"/>
      <c r="U246" s="46"/>
    </row>
    <row r="247" spans="1:21" ht="18.75" hidden="1" x14ac:dyDescent="0.25">
      <c r="A247" s="250"/>
      <c r="B247" s="251"/>
      <c r="C247" s="251"/>
      <c r="D247" s="264" t="s">
        <v>107</v>
      </c>
      <c r="E247" s="252"/>
      <c r="F247" s="252"/>
      <c r="G247" s="253"/>
      <c r="H247" s="265" t="s">
        <v>14</v>
      </c>
      <c r="I247" s="255"/>
      <c r="J247" s="255"/>
      <c r="K247" s="256"/>
      <c r="L247" s="256"/>
      <c r="M247" s="256"/>
      <c r="N247" s="256"/>
      <c r="O247" s="256"/>
      <c r="P247" s="256"/>
      <c r="Q247" s="256"/>
      <c r="R247" s="256"/>
      <c r="S247" s="256"/>
      <c r="T247" s="46"/>
      <c r="U247" s="46"/>
    </row>
    <row r="248" spans="1:21" ht="19.5" hidden="1" x14ac:dyDescent="0.3">
      <c r="A248" s="250"/>
      <c r="B248" s="251"/>
      <c r="C248" s="266" t="s">
        <v>18</v>
      </c>
      <c r="D248" s="267" t="s">
        <v>38</v>
      </c>
      <c r="E248" s="252"/>
      <c r="F248" s="252"/>
      <c r="G248" s="253"/>
      <c r="H248" s="253"/>
      <c r="I248" s="255"/>
      <c r="J248" s="255"/>
      <c r="K248" s="256"/>
      <c r="L248" s="256"/>
      <c r="M248" s="256"/>
      <c r="N248" s="256"/>
      <c r="O248" s="256"/>
      <c r="P248" s="256"/>
      <c r="Q248" s="256"/>
      <c r="R248" s="256"/>
      <c r="S248" s="256"/>
      <c r="T248" s="137"/>
      <c r="U248" s="137"/>
    </row>
    <row r="249" spans="1:21" ht="18.75" hidden="1" x14ac:dyDescent="0.25">
      <c r="A249" s="250"/>
      <c r="B249" s="251"/>
      <c r="C249" s="251"/>
      <c r="D249" s="264" t="s">
        <v>108</v>
      </c>
      <c r="E249" s="252"/>
      <c r="F249" s="252"/>
      <c r="G249" s="253"/>
      <c r="H249" s="268" t="s">
        <v>35</v>
      </c>
      <c r="I249" s="255"/>
      <c r="J249" s="255"/>
      <c r="K249" s="256"/>
      <c r="L249" s="256"/>
      <c r="M249" s="256"/>
      <c r="N249" s="256"/>
      <c r="O249" s="256"/>
      <c r="P249" s="256"/>
      <c r="Q249" s="256"/>
      <c r="R249" s="256"/>
      <c r="S249" s="256"/>
      <c r="T249" s="46"/>
      <c r="U249" s="46"/>
    </row>
    <row r="250" spans="1:21" ht="18.75" hidden="1" x14ac:dyDescent="0.25">
      <c r="A250" s="250"/>
      <c r="B250" s="251"/>
      <c r="C250" s="251"/>
      <c r="D250" s="269" t="s">
        <v>43</v>
      </c>
      <c r="E250" s="252"/>
      <c r="F250" s="252"/>
      <c r="G250" s="253"/>
      <c r="H250" s="253"/>
      <c r="I250" s="255"/>
      <c r="J250" s="255"/>
      <c r="K250" s="256"/>
      <c r="L250" s="256"/>
      <c r="M250" s="256"/>
      <c r="N250" s="256"/>
      <c r="O250" s="256"/>
      <c r="P250" s="256"/>
      <c r="Q250" s="256"/>
      <c r="R250" s="256"/>
      <c r="S250" s="256"/>
      <c r="T250" s="137"/>
      <c r="U250" s="137"/>
    </row>
    <row r="251" spans="1:21" ht="18.75" hidden="1" x14ac:dyDescent="0.25">
      <c r="A251" s="250"/>
      <c r="B251" s="251"/>
      <c r="C251" s="251"/>
      <c r="D251" s="251"/>
      <c r="E251" s="270" t="s">
        <v>109</v>
      </c>
      <c r="F251" s="252"/>
      <c r="G251" s="253"/>
      <c r="H251" s="268" t="s">
        <v>35</v>
      </c>
      <c r="I251" s="255"/>
      <c r="J251" s="255"/>
      <c r="K251" s="256"/>
      <c r="L251" s="256"/>
      <c r="M251" s="256"/>
      <c r="N251" s="256"/>
      <c r="O251" s="256"/>
      <c r="P251" s="256"/>
      <c r="Q251" s="256"/>
      <c r="R251" s="256"/>
      <c r="S251" s="256"/>
      <c r="T251" s="46"/>
      <c r="U251" s="46"/>
    </row>
    <row r="252" spans="1:21" ht="18.75" hidden="1" x14ac:dyDescent="0.25">
      <c r="A252" s="250"/>
      <c r="B252" s="251"/>
      <c r="C252" s="251"/>
      <c r="D252" s="251"/>
      <c r="E252" s="270" t="s">
        <v>110</v>
      </c>
      <c r="F252" s="252"/>
      <c r="G252" s="253"/>
      <c r="H252" s="268" t="s">
        <v>61</v>
      </c>
      <c r="I252" s="255"/>
      <c r="J252" s="255"/>
      <c r="K252" s="256"/>
      <c r="L252" s="256"/>
      <c r="M252" s="256"/>
      <c r="N252" s="256"/>
      <c r="O252" s="256"/>
      <c r="P252" s="256"/>
      <c r="Q252" s="256"/>
      <c r="R252" s="256"/>
      <c r="S252" s="256"/>
      <c r="T252" s="46"/>
      <c r="U252" s="46"/>
    </row>
    <row r="253" spans="1:21" ht="19.5" hidden="1" x14ac:dyDescent="0.3">
      <c r="A253" s="250"/>
      <c r="B253" s="251"/>
      <c r="C253" s="258" t="s">
        <v>112</v>
      </c>
      <c r="D253" s="252"/>
      <c r="E253" s="252"/>
      <c r="F253" s="252"/>
      <c r="G253" s="253"/>
      <c r="H253" s="259" t="s">
        <v>35</v>
      </c>
      <c r="I253" s="255"/>
      <c r="J253" s="255"/>
      <c r="K253" s="256"/>
      <c r="L253" s="256"/>
      <c r="M253" s="256"/>
      <c r="N253" s="256"/>
      <c r="O253" s="256"/>
      <c r="P253" s="256"/>
      <c r="Q253" s="256"/>
      <c r="R253" s="256"/>
      <c r="S253" s="256"/>
      <c r="T253" s="238"/>
      <c r="U253" s="238"/>
    </row>
    <row r="254" spans="1:21" ht="19.5" hidden="1" x14ac:dyDescent="0.3">
      <c r="A254" s="260"/>
      <c r="B254" s="252"/>
      <c r="C254" s="261" t="s">
        <v>18</v>
      </c>
      <c r="D254" s="267" t="s">
        <v>19</v>
      </c>
      <c r="E254" s="252"/>
      <c r="F254" s="252"/>
      <c r="G254" s="253"/>
      <c r="H254" s="263" t="s">
        <v>14</v>
      </c>
      <c r="I254" s="255"/>
      <c r="J254" s="255"/>
      <c r="K254" s="256"/>
      <c r="L254" s="256"/>
      <c r="M254" s="256"/>
      <c r="N254" s="256"/>
      <c r="O254" s="256"/>
      <c r="P254" s="256"/>
      <c r="Q254" s="256"/>
      <c r="R254" s="256"/>
      <c r="S254" s="256"/>
      <c r="T254" s="46"/>
      <c r="U254" s="46"/>
    </row>
    <row r="255" spans="1:21" ht="18.75" hidden="1" x14ac:dyDescent="0.25">
      <c r="A255" s="260"/>
      <c r="B255" s="251"/>
      <c r="C255" s="252"/>
      <c r="D255" s="264" t="s">
        <v>86</v>
      </c>
      <c r="E255" s="252"/>
      <c r="F255" s="252"/>
      <c r="G255" s="253"/>
      <c r="H255" s="265" t="s">
        <v>14</v>
      </c>
      <c r="I255" s="255"/>
      <c r="J255" s="255"/>
      <c r="K255" s="256"/>
      <c r="L255" s="256"/>
      <c r="M255" s="256"/>
      <c r="N255" s="256"/>
      <c r="O255" s="256"/>
      <c r="P255" s="256"/>
      <c r="Q255" s="256"/>
      <c r="R255" s="256"/>
      <c r="S255" s="256"/>
      <c r="T255" s="46"/>
      <c r="U255" s="46"/>
    </row>
    <row r="256" spans="1:21" ht="18.75" hidden="1" x14ac:dyDescent="0.25">
      <c r="A256" s="250"/>
      <c r="B256" s="251"/>
      <c r="C256" s="251"/>
      <c r="D256" s="264" t="s">
        <v>88</v>
      </c>
      <c r="E256" s="252"/>
      <c r="F256" s="252"/>
      <c r="G256" s="253"/>
      <c r="H256" s="265" t="s">
        <v>14</v>
      </c>
      <c r="I256" s="255"/>
      <c r="J256" s="255"/>
      <c r="K256" s="256"/>
      <c r="L256" s="256"/>
      <c r="M256" s="256"/>
      <c r="N256" s="256"/>
      <c r="O256" s="256"/>
      <c r="P256" s="256"/>
      <c r="Q256" s="256"/>
      <c r="R256" s="256"/>
      <c r="S256" s="256"/>
      <c r="T256" s="46"/>
      <c r="U256" s="46"/>
    </row>
    <row r="257" spans="1:21" ht="18.75" hidden="1" x14ac:dyDescent="0.25">
      <c r="A257" s="250"/>
      <c r="B257" s="251"/>
      <c r="C257" s="251"/>
      <c r="D257" s="264" t="s">
        <v>106</v>
      </c>
      <c r="E257" s="252"/>
      <c r="F257" s="252"/>
      <c r="G257" s="253"/>
      <c r="H257" s="265" t="s">
        <v>14</v>
      </c>
      <c r="I257" s="255"/>
      <c r="J257" s="255"/>
      <c r="K257" s="256"/>
      <c r="L257" s="256"/>
      <c r="M257" s="256"/>
      <c r="N257" s="256"/>
      <c r="O257" s="256"/>
      <c r="P257" s="256"/>
      <c r="Q257" s="256"/>
      <c r="R257" s="256"/>
      <c r="S257" s="256"/>
      <c r="T257" s="46"/>
      <c r="U257" s="46"/>
    </row>
    <row r="258" spans="1:21" ht="18.75" hidden="1" x14ac:dyDescent="0.25">
      <c r="A258" s="250"/>
      <c r="B258" s="251"/>
      <c r="C258" s="251"/>
      <c r="D258" s="264" t="s">
        <v>107</v>
      </c>
      <c r="E258" s="252"/>
      <c r="F258" s="252"/>
      <c r="G258" s="253"/>
      <c r="H258" s="265" t="s">
        <v>14</v>
      </c>
      <c r="I258" s="255"/>
      <c r="J258" s="255"/>
      <c r="K258" s="256"/>
      <c r="L258" s="256"/>
      <c r="M258" s="256"/>
      <c r="N258" s="256"/>
      <c r="O258" s="256"/>
      <c r="P258" s="256"/>
      <c r="Q258" s="256"/>
      <c r="R258" s="256"/>
      <c r="S258" s="256"/>
      <c r="T258" s="46"/>
      <c r="U258" s="46"/>
    </row>
    <row r="259" spans="1:21" ht="19.5" hidden="1" x14ac:dyDescent="0.3">
      <c r="A259" s="250"/>
      <c r="B259" s="251"/>
      <c r="C259" s="266" t="s">
        <v>18</v>
      </c>
      <c r="D259" s="267" t="s">
        <v>38</v>
      </c>
      <c r="E259" s="252"/>
      <c r="F259" s="252"/>
      <c r="G259" s="253"/>
      <c r="H259" s="253"/>
      <c r="I259" s="255"/>
      <c r="J259" s="255"/>
      <c r="K259" s="256"/>
      <c r="L259" s="256"/>
      <c r="M259" s="256"/>
      <c r="N259" s="256"/>
      <c r="O259" s="256"/>
      <c r="P259" s="256"/>
      <c r="Q259" s="256"/>
      <c r="R259" s="256"/>
      <c r="S259" s="256"/>
      <c r="T259" s="137"/>
      <c r="U259" s="137"/>
    </row>
    <row r="260" spans="1:21" ht="18.75" hidden="1" x14ac:dyDescent="0.25">
      <c r="A260" s="250"/>
      <c r="B260" s="251"/>
      <c r="C260" s="251"/>
      <c r="D260" s="264" t="s">
        <v>108</v>
      </c>
      <c r="E260" s="252"/>
      <c r="F260" s="252"/>
      <c r="G260" s="253"/>
      <c r="H260" s="268" t="s">
        <v>35</v>
      </c>
      <c r="I260" s="255"/>
      <c r="J260" s="255"/>
      <c r="K260" s="256"/>
      <c r="L260" s="256"/>
      <c r="M260" s="256"/>
      <c r="N260" s="256"/>
      <c r="O260" s="256"/>
      <c r="P260" s="256"/>
      <c r="Q260" s="256"/>
      <c r="R260" s="256"/>
      <c r="S260" s="256"/>
      <c r="T260" s="46"/>
      <c r="U260" s="46"/>
    </row>
    <row r="261" spans="1:21" ht="18.75" hidden="1" x14ac:dyDescent="0.25">
      <c r="A261" s="250"/>
      <c r="B261" s="251"/>
      <c r="C261" s="251"/>
      <c r="D261" s="269" t="s">
        <v>43</v>
      </c>
      <c r="E261" s="252"/>
      <c r="F261" s="252"/>
      <c r="G261" s="253"/>
      <c r="H261" s="253"/>
      <c r="I261" s="255"/>
      <c r="J261" s="255"/>
      <c r="K261" s="256"/>
      <c r="L261" s="256"/>
      <c r="M261" s="256"/>
      <c r="N261" s="256"/>
      <c r="O261" s="256"/>
      <c r="P261" s="256"/>
      <c r="Q261" s="256"/>
      <c r="R261" s="256"/>
      <c r="S261" s="256"/>
      <c r="T261" s="137"/>
      <c r="U261" s="137"/>
    </row>
    <row r="262" spans="1:21" ht="18.75" hidden="1" x14ac:dyDescent="0.25">
      <c r="A262" s="250"/>
      <c r="B262" s="251"/>
      <c r="C262" s="251"/>
      <c r="D262" s="251"/>
      <c r="E262" s="270" t="s">
        <v>109</v>
      </c>
      <c r="F262" s="252"/>
      <c r="G262" s="253"/>
      <c r="H262" s="268" t="s">
        <v>35</v>
      </c>
      <c r="I262" s="255"/>
      <c r="J262" s="255"/>
      <c r="K262" s="256"/>
      <c r="L262" s="256"/>
      <c r="M262" s="256"/>
      <c r="N262" s="256"/>
      <c r="O262" s="256"/>
      <c r="P262" s="256"/>
      <c r="Q262" s="256"/>
      <c r="R262" s="256"/>
      <c r="S262" s="256"/>
      <c r="T262" s="46"/>
      <c r="U262" s="46"/>
    </row>
    <row r="263" spans="1:21" ht="18.75" hidden="1" x14ac:dyDescent="0.25">
      <c r="A263" s="250"/>
      <c r="B263" s="251"/>
      <c r="C263" s="251"/>
      <c r="D263" s="251"/>
      <c r="E263" s="270" t="s">
        <v>110</v>
      </c>
      <c r="F263" s="252"/>
      <c r="G263" s="253"/>
      <c r="H263" s="268" t="s">
        <v>61</v>
      </c>
      <c r="I263" s="255"/>
      <c r="J263" s="255"/>
      <c r="K263" s="256"/>
      <c r="L263" s="256"/>
      <c r="M263" s="256"/>
      <c r="N263" s="256"/>
      <c r="O263" s="256"/>
      <c r="P263" s="256"/>
      <c r="Q263" s="256"/>
      <c r="R263" s="256"/>
      <c r="S263" s="256"/>
      <c r="T263" s="46"/>
      <c r="U263" s="46"/>
    </row>
    <row r="264" spans="1:21" ht="19.5" x14ac:dyDescent="0.3">
      <c r="A264" s="212" t="s">
        <v>113</v>
      </c>
      <c r="B264" s="213"/>
      <c r="C264" s="213"/>
      <c r="D264" s="214"/>
      <c r="E264" s="214"/>
      <c r="F264" s="214"/>
      <c r="G264" s="215"/>
      <c r="H264" s="215"/>
      <c r="I264" s="216"/>
      <c r="J264" s="216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</row>
    <row r="265" spans="1:21" ht="19.5" x14ac:dyDescent="0.3">
      <c r="A265" s="218"/>
      <c r="B265" s="219" t="s">
        <v>114</v>
      </c>
      <c r="C265" s="220"/>
      <c r="D265" s="142"/>
      <c r="E265" s="142"/>
      <c r="F265" s="142"/>
      <c r="G265" s="143"/>
      <c r="H265" s="221" t="s">
        <v>35</v>
      </c>
      <c r="I265" s="222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22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306)</f>
        <v>306</v>
      </c>
      <c r="K265" s="223">
        <f ca="1">IF(I265&gt;0,J265*100/I265,0)</f>
        <v>100</v>
      </c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</row>
    <row r="266" spans="1:21" ht="19.5" x14ac:dyDescent="0.3">
      <c r="A266" s="129"/>
      <c r="B266" s="41"/>
      <c r="C266" s="130" t="s">
        <v>18</v>
      </c>
      <c r="D266" s="131" t="s">
        <v>19</v>
      </c>
      <c r="E266" s="41"/>
      <c r="F266" s="41"/>
      <c r="G266" s="43"/>
      <c r="H266" s="132" t="s">
        <v>14</v>
      </c>
      <c r="I266" s="45"/>
      <c r="J266" s="45"/>
      <c r="K266" s="46"/>
      <c r="L266" s="133">
        <f t="shared" ref="L266:N266" ca="1" si="188">L267+L268</f>
        <v>70000</v>
      </c>
      <c r="M266" s="133">
        <f t="shared" ca="1" si="188"/>
        <v>343290</v>
      </c>
      <c r="N266" s="133">
        <f t="shared" ca="1" si="188"/>
        <v>309370</v>
      </c>
      <c r="O266" s="133">
        <f t="shared" ref="O266:O274" ca="1" si="189">IF(L266&gt;0,N266*100/L266,0)</f>
        <v>441.95714285714286</v>
      </c>
      <c r="P266" s="133">
        <f t="shared" ref="P266:P274" ca="1" si="190">IF(M266&gt;0,N266*100/M266,0)</f>
        <v>90.119141250837487</v>
      </c>
      <c r="Q266" s="133">
        <f t="shared" ref="Q266:S266" ca="1" si="191">Q267+Q268</f>
        <v>706460</v>
      </c>
      <c r="R266" s="133">
        <f t="shared" ca="1" si="191"/>
        <v>667501</v>
      </c>
      <c r="S266" s="133">
        <f t="shared" ca="1" si="191"/>
        <v>650461</v>
      </c>
      <c r="T266" s="133">
        <f t="shared" ref="T266:T274" ca="1" si="192">IF(Q266&gt;0,S266*100/Q266,0)</f>
        <v>92.073295020241773</v>
      </c>
      <c r="U266" s="133">
        <f t="shared" ref="U266:U274" ca="1" si="193">IF(R266&gt;0,S266*100/R266,0)</f>
        <v>97.447194835663169</v>
      </c>
    </row>
    <row r="267" spans="1:21" ht="18.75" hidden="1" x14ac:dyDescent="0.25">
      <c r="A267" s="129"/>
      <c r="B267" s="41"/>
      <c r="C267" s="41"/>
      <c r="D267" s="41"/>
      <c r="E267" s="48" t="s">
        <v>20</v>
      </c>
      <c r="F267" s="41"/>
      <c r="G267" s="43"/>
      <c r="H267" s="134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hidden="1" x14ac:dyDescent="0.25">
      <c r="A268" s="129"/>
      <c r="B268" s="41"/>
      <c r="C268" s="41"/>
      <c r="D268" s="41"/>
      <c r="E268" s="48" t="s">
        <v>21</v>
      </c>
      <c r="F268" s="41"/>
      <c r="G268" s="43"/>
      <c r="H268" s="134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343290</v>
      </c>
      <c r="N268" s="47">
        <f t="shared" ca="1" si="196"/>
        <v>309370</v>
      </c>
      <c r="O268" s="47">
        <f t="shared" ca="1" si="189"/>
        <v>441.95714285714286</v>
      </c>
      <c r="P268" s="47">
        <f t="shared" ca="1" si="190"/>
        <v>90.119141250837487</v>
      </c>
      <c r="Q268" s="47">
        <f t="shared" ref="Q268:S268" ca="1" si="197">Q271+Q274</f>
        <v>706460</v>
      </c>
      <c r="R268" s="47">
        <f t="shared" ca="1" si="197"/>
        <v>667501</v>
      </c>
      <c r="S268" s="47">
        <f t="shared" ca="1" si="197"/>
        <v>650461</v>
      </c>
      <c r="T268" s="47">
        <f t="shared" ca="1" si="192"/>
        <v>92.073295020241773</v>
      </c>
      <c r="U268" s="47">
        <f t="shared" ca="1" si="193"/>
        <v>97.447194835663169</v>
      </c>
    </row>
    <row r="269" spans="1:21" ht="18.75" x14ac:dyDescent="0.25">
      <c r="A269" s="129"/>
      <c r="B269" s="41"/>
      <c r="C269" s="41"/>
      <c r="D269" s="42" t="s">
        <v>22</v>
      </c>
      <c r="E269" s="41"/>
      <c r="F269" s="41"/>
      <c r="G269" s="43"/>
      <c r="H269" s="135" t="s">
        <v>14</v>
      </c>
      <c r="I269" s="136"/>
      <c r="J269" s="136"/>
      <c r="K269" s="137"/>
      <c r="L269" s="47">
        <f t="shared" ref="L269:N269" ca="1" si="198">L270+L271</f>
        <v>70000</v>
      </c>
      <c r="M269" s="47">
        <f t="shared" ca="1" si="198"/>
        <v>343290</v>
      </c>
      <c r="N269" s="47">
        <f t="shared" ca="1" si="198"/>
        <v>309370</v>
      </c>
      <c r="O269" s="47">
        <f t="shared" ca="1" si="189"/>
        <v>441.95714285714286</v>
      </c>
      <c r="P269" s="47">
        <f t="shared" ca="1" si="190"/>
        <v>90.119141250837487</v>
      </c>
      <c r="Q269" s="47">
        <f t="shared" ref="Q269:S269" ca="1" si="199">Q270+Q271</f>
        <v>706460</v>
      </c>
      <c r="R269" s="47">
        <f t="shared" ca="1" si="199"/>
        <v>667501</v>
      </c>
      <c r="S269" s="47">
        <f t="shared" ca="1" si="199"/>
        <v>650461</v>
      </c>
      <c r="T269" s="47">
        <f t="shared" ca="1" si="192"/>
        <v>92.073295020241773</v>
      </c>
      <c r="U269" s="47">
        <f t="shared" ca="1" si="193"/>
        <v>97.447194835663169</v>
      </c>
    </row>
    <row r="270" spans="1:21" ht="18.75" hidden="1" x14ac:dyDescent="0.25">
      <c r="A270" s="129"/>
      <c r="B270" s="41"/>
      <c r="C270" s="41"/>
      <c r="D270" s="41"/>
      <c r="E270" s="48" t="s">
        <v>36</v>
      </c>
      <c r="F270" s="41"/>
      <c r="G270" s="43"/>
      <c r="H270" s="135" t="s">
        <v>14</v>
      </c>
      <c r="I270" s="136"/>
      <c r="J270" s="136"/>
      <c r="K270" s="137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hidden="1" x14ac:dyDescent="0.25">
      <c r="A271" s="129"/>
      <c r="B271" s="41"/>
      <c r="C271" s="41"/>
      <c r="D271" s="41"/>
      <c r="E271" s="48" t="s">
        <v>37</v>
      </c>
      <c r="F271" s="41"/>
      <c r="G271" s="43"/>
      <c r="H271" s="135" t="s">
        <v>14</v>
      </c>
      <c r="I271" s="136"/>
      <c r="J271" s="136"/>
      <c r="K271" s="137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343290)</f>
        <v>343290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309370)</f>
        <v>309370</v>
      </c>
      <c r="O271" s="47">
        <f t="shared" ca="1" si="189"/>
        <v>441.95714285714286</v>
      </c>
      <c r="P271" s="47">
        <f t="shared" ca="1" si="190"/>
        <v>90.119141250837487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667501)</f>
        <v>667501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650461)</f>
        <v>650461</v>
      </c>
      <c r="T271" s="47">
        <f t="shared" ca="1" si="192"/>
        <v>92.073295020241773</v>
      </c>
      <c r="U271" s="47">
        <f t="shared" ca="1" si="193"/>
        <v>97.447194835663169</v>
      </c>
    </row>
    <row r="272" spans="1:21" ht="18.75" x14ac:dyDescent="0.25">
      <c r="A272" s="129"/>
      <c r="B272" s="41"/>
      <c r="C272" s="41"/>
      <c r="D272" s="42" t="s">
        <v>23</v>
      </c>
      <c r="E272" s="41"/>
      <c r="F272" s="41"/>
      <c r="G272" s="43"/>
      <c r="H272" s="138" t="s">
        <v>14</v>
      </c>
      <c r="I272" s="136"/>
      <c r="J272" s="136"/>
      <c r="K272" s="137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hidden="1" x14ac:dyDescent="0.25">
      <c r="A273" s="129"/>
      <c r="B273" s="41"/>
      <c r="C273" s="41"/>
      <c r="D273" s="41"/>
      <c r="E273" s="48" t="s">
        <v>20</v>
      </c>
      <c r="F273" s="41"/>
      <c r="G273" s="43"/>
      <c r="H273" s="135" t="s">
        <v>14</v>
      </c>
      <c r="I273" s="136"/>
      <c r="J273" s="136"/>
      <c r="K273" s="137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hidden="1" x14ac:dyDescent="0.25">
      <c r="A274" s="129"/>
      <c r="B274" s="41"/>
      <c r="C274" s="41"/>
      <c r="D274" s="41"/>
      <c r="E274" s="48" t="s">
        <v>21</v>
      </c>
      <c r="F274" s="41"/>
      <c r="G274" s="43"/>
      <c r="H274" s="138" t="s">
        <v>14</v>
      </c>
      <c r="I274" s="136"/>
      <c r="J274" s="136"/>
      <c r="K274" s="137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9"/>
      <c r="B275" s="140"/>
      <c r="C275" s="271" t="s">
        <v>18</v>
      </c>
      <c r="D275" s="141" t="s">
        <v>38</v>
      </c>
      <c r="E275" s="142"/>
      <c r="F275" s="142"/>
      <c r="G275" s="143"/>
      <c r="H275" s="144"/>
      <c r="I275" s="136"/>
      <c r="J275" s="136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</row>
    <row r="276" spans="1:21" ht="18.75" x14ac:dyDescent="0.25">
      <c r="A276" s="272"/>
      <c r="B276" s="160"/>
      <c r="C276" s="160"/>
      <c r="D276" s="273" t="s">
        <v>115</v>
      </c>
      <c r="E276" s="41"/>
      <c r="F276" s="41"/>
      <c r="G276" s="43"/>
      <c r="H276" s="134" t="s">
        <v>35</v>
      </c>
      <c r="I276" s="153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3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306)</f>
        <v>306</v>
      </c>
      <c r="K276" s="47">
        <f ca="1">IF(I276&gt;0,J276*100/I276,0)</f>
        <v>100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74"/>
      <c r="B277" s="275"/>
      <c r="C277" s="275"/>
      <c r="D277" s="276" t="s">
        <v>116</v>
      </c>
      <c r="E277" s="277"/>
      <c r="F277" s="277"/>
      <c r="G277" s="278"/>
      <c r="H277" s="54" t="s">
        <v>35</v>
      </c>
      <c r="I277" s="205">
        <v>0</v>
      </c>
      <c r="J277" s="205">
        <v>0</v>
      </c>
      <c r="K277" s="279">
        <v>0</v>
      </c>
      <c r="L277" s="280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202">I293</f>
        <v>10</v>
      </c>
      <c r="J280" s="299">
        <f t="shared" ca="1" si="202"/>
        <v>10</v>
      </c>
      <c r="K280" s="300">
        <f t="shared" ref="K280:K281" ca="1" si="203">IF(I280&gt;0,J280*100/I280,0)</f>
        <v>100</v>
      </c>
      <c r="L280" s="301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204">I292</f>
        <v>100</v>
      </c>
      <c r="J281" s="299">
        <f t="shared" ca="1" si="204"/>
        <v>100</v>
      </c>
      <c r="K281" s="300">
        <f t="shared" ca="1" si="203"/>
        <v>100</v>
      </c>
      <c r="L281" s="301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x14ac:dyDescent="0.3">
      <c r="A282" s="129"/>
      <c r="B282" s="41"/>
      <c r="C282" s="130" t="s">
        <v>18</v>
      </c>
      <c r="D282" s="131" t="s">
        <v>19</v>
      </c>
      <c r="E282" s="41"/>
      <c r="F282" s="41"/>
      <c r="G282" s="43"/>
      <c r="H282" s="132" t="s">
        <v>14</v>
      </c>
      <c r="I282" s="45"/>
      <c r="J282" s="45"/>
      <c r="K282" s="46"/>
      <c r="L282" s="133">
        <f t="shared" ref="L282:N282" ca="1" si="205">L283+L284</f>
        <v>415220</v>
      </c>
      <c r="M282" s="133">
        <f t="shared" ca="1" si="205"/>
        <v>428150</v>
      </c>
      <c r="N282" s="133">
        <f t="shared" ca="1" si="205"/>
        <v>427574.83</v>
      </c>
      <c r="O282" s="133">
        <f t="shared" ref="O282:O290" ca="1" si="206">IF(L282&gt;0,N282*100/L282,0)</f>
        <v>102.97549010163287</v>
      </c>
      <c r="P282" s="133">
        <f t="shared" ref="P282:P290" ca="1" si="207">IF(M282&gt;0,N282*100/M282,0)</f>
        <v>99.865661567207752</v>
      </c>
      <c r="Q282" s="133">
        <f t="shared" ref="Q282:S282" ca="1" si="208">Q283+Q284</f>
        <v>0</v>
      </c>
      <c r="R282" s="133">
        <f t="shared" ca="1" si="208"/>
        <v>0</v>
      </c>
      <c r="S282" s="133">
        <f t="shared" ca="1" si="208"/>
        <v>0</v>
      </c>
      <c r="T282" s="133">
        <f t="shared" ref="T282:T290" ca="1" si="209">IF(Q282&gt;0,S282*100/Q282,0)</f>
        <v>0</v>
      </c>
      <c r="U282" s="133">
        <f t="shared" ref="U282:U290" ca="1" si="210">IF(R282&gt;0,S282*100/R282,0)</f>
        <v>0</v>
      </c>
    </row>
    <row r="283" spans="1:21" ht="18.75" hidden="1" x14ac:dyDescent="0.25">
      <c r="A283" s="129"/>
      <c r="B283" s="41"/>
      <c r="C283" s="41"/>
      <c r="D283" s="41"/>
      <c r="E283" s="48" t="s">
        <v>20</v>
      </c>
      <c r="F283" s="41"/>
      <c r="G283" s="43"/>
      <c r="H283" s="134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hidden="1" x14ac:dyDescent="0.25">
      <c r="A284" s="129"/>
      <c r="B284" s="41"/>
      <c r="C284" s="41"/>
      <c r="D284" s="41"/>
      <c r="E284" s="48" t="s">
        <v>21</v>
      </c>
      <c r="F284" s="41"/>
      <c r="G284" s="43"/>
      <c r="H284" s="134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428150</v>
      </c>
      <c r="N284" s="47">
        <f t="shared" ca="1" si="213"/>
        <v>427574.83</v>
      </c>
      <c r="O284" s="47">
        <f t="shared" ca="1" si="206"/>
        <v>102.97549010163287</v>
      </c>
      <c r="P284" s="47">
        <f t="shared" ca="1" si="207"/>
        <v>99.865661567207752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9"/>
      <c r="B285" s="41"/>
      <c r="C285" s="41"/>
      <c r="D285" s="42" t="s">
        <v>22</v>
      </c>
      <c r="E285" s="41"/>
      <c r="F285" s="41"/>
      <c r="G285" s="43"/>
      <c r="H285" s="135" t="s">
        <v>14</v>
      </c>
      <c r="I285" s="136"/>
      <c r="J285" s="136"/>
      <c r="K285" s="137"/>
      <c r="L285" s="47">
        <f t="shared" ref="L285:N285" ca="1" si="215">L286+L287</f>
        <v>415220</v>
      </c>
      <c r="M285" s="47">
        <f t="shared" ca="1" si="215"/>
        <v>428150</v>
      </c>
      <c r="N285" s="47">
        <f t="shared" ca="1" si="215"/>
        <v>427574.83</v>
      </c>
      <c r="O285" s="47">
        <f t="shared" ca="1" si="206"/>
        <v>102.97549010163287</v>
      </c>
      <c r="P285" s="47">
        <f t="shared" ca="1" si="207"/>
        <v>99.865661567207752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hidden="1" x14ac:dyDescent="0.25">
      <c r="A286" s="129"/>
      <c r="B286" s="41"/>
      <c r="C286" s="41"/>
      <c r="D286" s="41"/>
      <c r="E286" s="48" t="s">
        <v>36</v>
      </c>
      <c r="F286" s="41"/>
      <c r="G286" s="43"/>
      <c r="H286" s="135" t="s">
        <v>14</v>
      </c>
      <c r="I286" s="136"/>
      <c r="J286" s="136"/>
      <c r="K286" s="137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hidden="1" x14ac:dyDescent="0.25">
      <c r="A287" s="129"/>
      <c r="B287" s="41"/>
      <c r="C287" s="41"/>
      <c r="D287" s="41"/>
      <c r="E287" s="48" t="s">
        <v>37</v>
      </c>
      <c r="F287" s="41"/>
      <c r="G287" s="43"/>
      <c r="H287" s="135" t="s">
        <v>14</v>
      </c>
      <c r="I287" s="136"/>
      <c r="J287" s="136"/>
      <c r="K287" s="137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428150)</f>
        <v>428150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427574.83)</f>
        <v>427574.83</v>
      </c>
      <c r="O287" s="47">
        <f t="shared" ca="1" si="206"/>
        <v>102.97549010163287</v>
      </c>
      <c r="P287" s="47">
        <f t="shared" ca="1" si="207"/>
        <v>99.865661567207752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9"/>
      <c r="B288" s="41"/>
      <c r="C288" s="41"/>
      <c r="D288" s="42" t="s">
        <v>23</v>
      </c>
      <c r="E288" s="41"/>
      <c r="F288" s="41"/>
      <c r="G288" s="43"/>
      <c r="H288" s="138" t="s">
        <v>14</v>
      </c>
      <c r="I288" s="136"/>
      <c r="J288" s="136"/>
      <c r="K288" s="137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hidden="1" x14ac:dyDescent="0.25">
      <c r="A289" s="129"/>
      <c r="B289" s="41"/>
      <c r="C289" s="41"/>
      <c r="D289" s="41"/>
      <c r="E289" s="48" t="s">
        <v>20</v>
      </c>
      <c r="F289" s="41"/>
      <c r="G289" s="43"/>
      <c r="H289" s="135" t="s">
        <v>14</v>
      </c>
      <c r="I289" s="136"/>
      <c r="J289" s="136"/>
      <c r="K289" s="137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hidden="1" x14ac:dyDescent="0.25">
      <c r="A290" s="129"/>
      <c r="B290" s="41"/>
      <c r="C290" s="41"/>
      <c r="D290" s="41"/>
      <c r="E290" s="48" t="s">
        <v>21</v>
      </c>
      <c r="F290" s="41"/>
      <c r="G290" s="43"/>
      <c r="H290" s="138" t="s">
        <v>14</v>
      </c>
      <c r="I290" s="136"/>
      <c r="J290" s="136"/>
      <c r="K290" s="137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9"/>
      <c r="B291" s="140"/>
      <c r="C291" s="130" t="s">
        <v>18</v>
      </c>
      <c r="D291" s="141" t="s">
        <v>38</v>
      </c>
      <c r="E291" s="142"/>
      <c r="F291" s="142"/>
      <c r="G291" s="143"/>
      <c r="H291" s="144"/>
      <c r="I291" s="136"/>
      <c r="J291" s="136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x14ac:dyDescent="0.25">
      <c r="A292" s="139"/>
      <c r="B292" s="140"/>
      <c r="C292" s="140"/>
      <c r="D292" s="168" t="s">
        <v>120</v>
      </c>
      <c r="E292" s="140"/>
      <c r="F292" s="146"/>
      <c r="G292" s="144"/>
      <c r="H292" s="155" t="s">
        <v>46</v>
      </c>
      <c r="I292" s="153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3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4">
        <f t="shared" ref="K292:K293" ca="1" si="219">IF(I292&gt;0,J292*100/I292,0)</f>
        <v>100</v>
      </c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x14ac:dyDescent="0.3">
      <c r="A293" s="139"/>
      <c r="B293" s="140"/>
      <c r="C293" s="140"/>
      <c r="D293" s="150" t="s">
        <v>121</v>
      </c>
      <c r="E293" s="140"/>
      <c r="F293" s="146"/>
      <c r="G293" s="144"/>
      <c r="H293" s="147" t="s">
        <v>35</v>
      </c>
      <c r="I293" s="148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8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9">
        <f t="shared" ca="1" si="219"/>
        <v>100</v>
      </c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x14ac:dyDescent="0.3">
      <c r="A294" s="139"/>
      <c r="B294" s="140"/>
      <c r="C294" s="140"/>
      <c r="D294" s="146"/>
      <c r="E294" s="302" t="s">
        <v>122</v>
      </c>
      <c r="F294" s="146"/>
      <c r="G294" s="144"/>
      <c r="H294" s="144"/>
      <c r="I294" s="136"/>
      <c r="J294" s="45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x14ac:dyDescent="0.3">
      <c r="A295" s="139"/>
      <c r="B295" s="140"/>
      <c r="C295" s="140"/>
      <c r="D295" s="146"/>
      <c r="E295" s="168" t="s">
        <v>123</v>
      </c>
      <c r="F295" s="146"/>
      <c r="G295" s="144"/>
      <c r="H295" s="151" t="s">
        <v>35</v>
      </c>
      <c r="I295" s="152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3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4">
        <f t="shared" ref="K295:K296" ca="1" si="220">IF(I295&gt;0,J295*100/I295,0)</f>
        <v>100</v>
      </c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x14ac:dyDescent="0.3">
      <c r="A296" s="139"/>
      <c r="B296" s="140"/>
      <c r="C296" s="140"/>
      <c r="D296" s="146"/>
      <c r="E296" s="150" t="s">
        <v>124</v>
      </c>
      <c r="F296" s="146"/>
      <c r="G296" s="144"/>
      <c r="H296" s="151" t="s">
        <v>35</v>
      </c>
      <c r="I296" s="152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3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4">
        <f t="shared" ca="1" si="220"/>
        <v>100</v>
      </c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9.5" x14ac:dyDescent="0.3">
      <c r="A297" s="139"/>
      <c r="B297" s="140"/>
      <c r="C297" s="140"/>
      <c r="D297" s="146"/>
      <c r="E297" s="303" t="s">
        <v>125</v>
      </c>
      <c r="F297" s="146"/>
      <c r="G297" s="144"/>
      <c r="H297" s="144"/>
      <c r="I297" s="136"/>
      <c r="J297" s="136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</row>
    <row r="298" spans="1:21" ht="19.5" x14ac:dyDescent="0.3">
      <c r="A298" s="139"/>
      <c r="B298" s="140"/>
      <c r="C298" s="140"/>
      <c r="D298" s="146"/>
      <c r="E298" s="303" t="s">
        <v>126</v>
      </c>
      <c r="F298" s="146"/>
      <c r="G298" s="144"/>
      <c r="H298" s="151" t="s">
        <v>35</v>
      </c>
      <c r="I298" s="152">
        <f ca="1">IFERROR(__xludf.DUMMYFUNCTION("IMPORTRANGE(""https://docs.google.com/spreadsheets/d/1kKUcYdkIfrgTSj8iHHHB2MD2FAtwyyocFgqGQn6ADyI/edit?usp=sharing"",""กระบี่!I298"")+IMPORTRANGE(""https://docs.google.com/spreadsheets/d/1GwtLaSlNZkLk7iDqcyZz22giiy40b_usZZBXYciEN1U/edit?usp=sharing"",""ชุ"&amp;"มพร!I298"")+IMPORTRANGE(""https://docs.google.com/spreadsheets/d/16pAz3pOhQEZBhvFNMa5KGgZS6iKWpsKX0pg6tQmwFpo/edit?usp=sharing"",""ตรัง!I298"")+IMPORTRANGE(""https://docs.google.com/spreadsheets/d/1Dj4jcHCTV9JXKCaMoheSXS52JE63kDKyG7bPXnFogHk/edit?usp=shar"&amp;"ing"",""นครศรีธรรมราช!I298"")+IMPORTRANGE(""https://docs.google.com/spreadsheets/d/1iodCdmuK2GR3jzUwk8tpccY2JHQQA-87DLOtJP-ooyU/edit?usp=sharing"",""นราธิวาส!I298"")+IMPORTRANGE(""https://docs.google.com/spreadsheets/d/1SDNX3JhDdYRuIOsj0Wh2M-Qa_eaXl0NbWmh"&amp;"AOTbfQAs/edit?usp=sharing"",""ปัตตานี!I298"")+IMPORTRANGE(""https://docs.google.com/spreadsheets/d/16JDLGguT8s5DsGCND1KcwHP_AWR_zDMTqLHPLJUKhaU/edit?usp=sharing"",""พังงา!I298"")+IMPORTRANGE(""https://docs.google.com/spreadsheets/d/17ht0gPKzzT3PObBL1XJkeR"&amp;"mntBXI7wGjpLV7QorqlTk/edit?usp=sharing"",""พัทลุง!I298"")+IMPORTRANGE(""https://docs.google.com/spreadsheets/d/1rd4qoM1q_hsgaolqNGfrim9gbsoLxQsda4-vOz5x_BM/edit?usp=sharing"",""ภูเก็ต!I298"")+IMPORTRANGE(""https://docs.google.com/spreadsheets/d/1woKwKjgoL"&amp;"ssDvPcPeVyezB5izizAn4X1JDrys69n6xI/edit?usp=sharing"",""ยะลา!I298"")+IMPORTRANGE(""https://docs.google.com/spreadsheets/d/1qfrKjzMhm2HJfxQ-qVlJlJQ25Hne1d0khsySbZyGtPA/edit?usp=sharing"",""ระนอง!I298"")+IMPORTRANGE(""https://docs.google.com/spreadsheets/d/"&amp;"1IbSCnFOKpZsnFogBHJnL_isstZVaOMnFiIN0fGTPZZw/edit?usp=sharing"",""สงขลา!I298"")+IMPORTRANGE(""https://docs.google.com/spreadsheets/d/1q9nWasZJ-K8bFGvbE9n0qSRuKGA4Toe3Y89cKCiVtCU/edit?usp=sharing"",""สตูล!I298"")+IMPORTRANGE(""https://docs.google.com/sprea"&amp;"dsheets/d/18T20gbkS_WBjdscyTOV05cvq_JqvqQ17C81mpxf7Ncs/edit?usp=sharing"",""สุราษฎร์ธานี!I298"")"),10)</f>
        <v>10</v>
      </c>
      <c r="J298" s="153">
        <f ca="1">IFERROR(__xludf.DUMMYFUNCTION("IMPORTRANGE(""https://docs.google.com/spreadsheets/d/1kKUcYdkIfrgTSj8iHHHB2MD2FAtwyyocFgqGQn6ADyI/edit?usp=sharing"",""กระบี่!J298"")+IMPORTRANGE(""https://docs.google.com/spreadsheets/d/1GwtLaSlNZkLk7iDqcyZz22giiy40b_usZZBXYciEN1U/edit?usp=sharing"",""ชุ"&amp;"มพร!J298"")+IMPORTRANGE(""https://docs.google.com/spreadsheets/d/16pAz3pOhQEZBhvFNMa5KGgZS6iKWpsKX0pg6tQmwFpo/edit?usp=sharing"",""ตรัง!J298"")+IMPORTRANGE(""https://docs.google.com/spreadsheets/d/1Dj4jcHCTV9JXKCaMoheSXS52JE63kDKyG7bPXnFogHk/edit?usp=shar"&amp;"ing"",""นครศรีธรรมราช!J298"")+IMPORTRANGE(""https://docs.google.com/spreadsheets/d/1iodCdmuK2GR3jzUwk8tpccY2JHQQA-87DLOtJP-ooyU/edit?usp=sharing"",""นราธิวาส!J298"")+IMPORTRANGE(""https://docs.google.com/spreadsheets/d/1SDNX3JhDdYRuIOsj0Wh2M-Qa_eaXl0NbWmh"&amp;"AOTbfQAs/edit?usp=sharing"",""ปัตตานี!J298"")+IMPORTRANGE(""https://docs.google.com/spreadsheets/d/16JDLGguT8s5DsGCND1KcwHP_AWR_zDMTqLHPLJUKhaU/edit?usp=sharing"",""พังงา!J298"")+IMPORTRANGE(""https://docs.google.com/spreadsheets/d/17ht0gPKzzT3PObBL1XJkeR"&amp;"mntBXI7wGjpLV7QorqlTk/edit?usp=sharing"",""พัทลุง!J298"")+IMPORTRANGE(""https://docs.google.com/spreadsheets/d/1rd4qoM1q_hsgaolqNGfrim9gbsoLxQsda4-vOz5x_BM/edit?usp=sharing"",""ภูเก็ต!J298"")+IMPORTRANGE(""https://docs.google.com/spreadsheets/d/1woKwKjgoL"&amp;"ssDvPcPeVyezB5izizAn4X1JDrys69n6xI/edit?usp=sharing"",""ยะลา!J298"")+IMPORTRANGE(""https://docs.google.com/spreadsheets/d/1qfrKjzMhm2HJfxQ-qVlJlJQ25Hne1d0khsySbZyGtPA/edit?usp=sharing"",""ระนอง!J298"")+IMPORTRANGE(""https://docs.google.com/spreadsheets/d/"&amp;"1IbSCnFOKpZsnFogBHJnL_isstZVaOMnFiIN0fGTPZZw/edit?usp=sharing"",""สงขลา!J298"")+IMPORTRANGE(""https://docs.google.com/spreadsheets/d/1q9nWasZJ-K8bFGvbE9n0qSRuKGA4Toe3Y89cKCiVtCU/edit?usp=sharing"",""สตูล!J298"")+IMPORTRANGE(""https://docs.google.com/sprea"&amp;"dsheets/d/18T20gbkS_WBjdscyTOV05cvq_JqvqQ17C81mpxf7Ncs/edit?usp=sharing"",""สุราษฎร์ธานี!J298"")"),10)</f>
        <v>10</v>
      </c>
      <c r="K298" s="154">
        <f t="shared" ref="K298:K299" ca="1" si="221">IF(I298&gt;0,J298*100/I298,0)</f>
        <v>100</v>
      </c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</row>
    <row r="299" spans="1:21" ht="19.5" x14ac:dyDescent="0.3">
      <c r="A299" s="274"/>
      <c r="B299" s="275"/>
      <c r="C299" s="275"/>
      <c r="D299" s="277"/>
      <c r="E299" s="303" t="s">
        <v>127</v>
      </c>
      <c r="F299" s="277"/>
      <c r="G299" s="278"/>
      <c r="H299" s="151" t="s">
        <v>35</v>
      </c>
      <c r="I299" s="152">
        <f ca="1">IFERROR(__xludf.DUMMYFUNCTION("IMPORTRANGE(""https://docs.google.com/spreadsheets/d/1kKUcYdkIfrgTSj8iHHHB2MD2FAtwyyocFgqGQn6ADyI/edit?usp=sharing"",""กระบี่!I299"")+IMPORTRANGE(""https://docs.google.com/spreadsheets/d/1GwtLaSlNZkLk7iDqcyZz22giiy40b_usZZBXYciEN1U/edit?usp=sharing"",""ชุ"&amp;"มพร!I299"")+IMPORTRANGE(""https://docs.google.com/spreadsheets/d/16pAz3pOhQEZBhvFNMa5KGgZS6iKWpsKX0pg6tQmwFpo/edit?usp=sharing"",""ตรัง!I299"")+IMPORTRANGE(""https://docs.google.com/spreadsheets/d/1Dj4jcHCTV9JXKCaMoheSXS52JE63kDKyG7bPXnFogHk/edit?usp=shar"&amp;"ing"",""นครศรีธรรมราช!I299"")+IMPORTRANGE(""https://docs.google.com/spreadsheets/d/1iodCdmuK2GR3jzUwk8tpccY2JHQQA-87DLOtJP-ooyU/edit?usp=sharing"",""นราธิวาส!I299"")+IMPORTRANGE(""https://docs.google.com/spreadsheets/d/1SDNX3JhDdYRuIOsj0Wh2M-Qa_eaXl0NbWmh"&amp;"AOTbfQAs/edit?usp=sharing"",""ปัตตานี!I299"")+IMPORTRANGE(""https://docs.google.com/spreadsheets/d/16JDLGguT8s5DsGCND1KcwHP_AWR_zDMTqLHPLJUKhaU/edit?usp=sharing"",""พังงา!I299"")+IMPORTRANGE(""https://docs.google.com/spreadsheets/d/17ht0gPKzzT3PObBL1XJkeR"&amp;"mntBXI7wGjpLV7QorqlTk/edit?usp=sharing"",""พัทลุง!I299"")+IMPORTRANGE(""https://docs.google.com/spreadsheets/d/1rd4qoM1q_hsgaolqNGfrim9gbsoLxQsda4-vOz5x_BM/edit?usp=sharing"",""ภูเก็ต!I299"")+IMPORTRANGE(""https://docs.google.com/spreadsheets/d/1woKwKjgoL"&amp;"ssDvPcPeVyezB5izizAn4X1JDrys69n6xI/edit?usp=sharing"",""ยะลา!I299"")+IMPORTRANGE(""https://docs.google.com/spreadsheets/d/1qfrKjzMhm2HJfxQ-qVlJlJQ25Hne1d0khsySbZyGtPA/edit?usp=sharing"",""ระนอง!I299"")+IMPORTRANGE(""https://docs.google.com/spreadsheets/d/"&amp;"1IbSCnFOKpZsnFogBHJnL_isstZVaOMnFiIN0fGTPZZw/edit?usp=sharing"",""สงขลา!I299"")+IMPORTRANGE(""https://docs.google.com/spreadsheets/d/1q9nWasZJ-K8bFGvbE9n0qSRuKGA4Toe3Y89cKCiVtCU/edit?usp=sharing"",""สตูล!I299"")+IMPORTRANGE(""https://docs.google.com/sprea"&amp;"dsheets/d/18T20gbkS_WBjdscyTOV05cvq_JqvqQ17C81mpxf7Ncs/edit?usp=sharing"",""สุราษฎร์ธานี!I299"")"),10)</f>
        <v>10</v>
      </c>
      <c r="J299" s="153">
        <f ca="1">IFERROR(__xludf.DUMMYFUNCTION("IMPORTRANGE(""https://docs.google.com/spreadsheets/d/1kKUcYdkIfrgTSj8iHHHB2MD2FAtwyyocFgqGQn6ADyI/edit?usp=sharing"",""กระบี่!J299"")+IMPORTRANGE(""https://docs.google.com/spreadsheets/d/1GwtLaSlNZkLk7iDqcyZz22giiy40b_usZZBXYciEN1U/edit?usp=sharing"",""ชุ"&amp;"มพร!J299"")+IMPORTRANGE(""https://docs.google.com/spreadsheets/d/16pAz3pOhQEZBhvFNMa5KGgZS6iKWpsKX0pg6tQmwFpo/edit?usp=sharing"",""ตรัง!J299"")+IMPORTRANGE(""https://docs.google.com/spreadsheets/d/1Dj4jcHCTV9JXKCaMoheSXS52JE63kDKyG7bPXnFogHk/edit?usp=shar"&amp;"ing"",""นครศรีธรรมราช!J299"")+IMPORTRANGE(""https://docs.google.com/spreadsheets/d/1iodCdmuK2GR3jzUwk8tpccY2JHQQA-87DLOtJP-ooyU/edit?usp=sharing"",""นราธิวาส!J299"")+IMPORTRANGE(""https://docs.google.com/spreadsheets/d/1SDNX3JhDdYRuIOsj0Wh2M-Qa_eaXl0NbWmh"&amp;"AOTbfQAs/edit?usp=sharing"",""ปัตตานี!J299"")+IMPORTRANGE(""https://docs.google.com/spreadsheets/d/16JDLGguT8s5DsGCND1KcwHP_AWR_zDMTqLHPLJUKhaU/edit?usp=sharing"",""พังงา!J299"")+IMPORTRANGE(""https://docs.google.com/spreadsheets/d/17ht0gPKzzT3PObBL1XJkeR"&amp;"mntBXI7wGjpLV7QorqlTk/edit?usp=sharing"",""พัทลุง!J299"")+IMPORTRANGE(""https://docs.google.com/spreadsheets/d/1rd4qoM1q_hsgaolqNGfrim9gbsoLxQsda4-vOz5x_BM/edit?usp=sharing"",""ภูเก็ต!J299"")+IMPORTRANGE(""https://docs.google.com/spreadsheets/d/1woKwKjgoL"&amp;"ssDvPcPeVyezB5izizAn4X1JDrys69n6xI/edit?usp=sharing"",""ยะลา!J299"")+IMPORTRANGE(""https://docs.google.com/spreadsheets/d/1qfrKjzMhm2HJfxQ-qVlJlJQ25Hne1d0khsySbZyGtPA/edit?usp=sharing"",""ระนอง!J299"")+IMPORTRANGE(""https://docs.google.com/spreadsheets/d/"&amp;"1IbSCnFOKpZsnFogBHJnL_isstZVaOMnFiIN0fGTPZZw/edit?usp=sharing"",""สงขลา!J299"")+IMPORTRANGE(""https://docs.google.com/spreadsheets/d/1q9nWasZJ-K8bFGvbE9n0qSRuKGA4Toe3Y89cKCiVtCU/edit?usp=sharing"",""สตูล!J299"")+IMPORTRANGE(""https://docs.google.com/sprea"&amp;"dsheets/d/18T20gbkS_WBjdscyTOV05cvq_JqvqQ17C81mpxf7Ncs/edit?usp=sharing"",""สุราษฎร์ธานี!J299"")"),10)</f>
        <v>10</v>
      </c>
      <c r="K299" s="154">
        <f t="shared" ca="1" si="221"/>
        <v>100</v>
      </c>
      <c r="L299" s="280"/>
      <c r="M299" s="280"/>
      <c r="N299" s="280"/>
      <c r="O299" s="280"/>
      <c r="P299" s="280"/>
      <c r="Q299" s="280"/>
      <c r="R299" s="280"/>
      <c r="S299" s="280"/>
      <c r="T299" s="280"/>
      <c r="U299" s="280"/>
    </row>
    <row r="300" spans="1:21" ht="19.5" x14ac:dyDescent="0.3">
      <c r="A300" s="304" t="s">
        <v>128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315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222">I314</f>
        <v>235</v>
      </c>
      <c r="J302" s="321">
        <f t="shared" ca="1" si="222"/>
        <v>235</v>
      </c>
      <c r="K302" s="322">
        <f ca="1">IF(I302&gt;0,J302*100/I302,0)</f>
        <v>100</v>
      </c>
      <c r="L302" s="323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41"/>
      <c r="C303" s="130" t="s">
        <v>18</v>
      </c>
      <c r="D303" s="131" t="s">
        <v>19</v>
      </c>
      <c r="E303" s="41"/>
      <c r="F303" s="41"/>
      <c r="G303" s="43"/>
      <c r="H303" s="132" t="s">
        <v>14</v>
      </c>
      <c r="I303" s="45"/>
      <c r="J303" s="45"/>
      <c r="K303" s="46"/>
      <c r="L303" s="133">
        <f t="shared" ref="L303:N303" ca="1" si="223">L304+L305</f>
        <v>426975</v>
      </c>
      <c r="M303" s="133">
        <f t="shared" ca="1" si="223"/>
        <v>426975</v>
      </c>
      <c r="N303" s="133">
        <f t="shared" ca="1" si="223"/>
        <v>396277.85</v>
      </c>
      <c r="O303" s="133">
        <f t="shared" ref="O303:O311" ca="1" si="224">IF(L303&gt;0,N303*100/L303,0)</f>
        <v>92.810550969026295</v>
      </c>
      <c r="P303" s="133">
        <f t="shared" ref="P303:P311" ca="1" si="225">IF(M303&gt;0,N303*100/M303,0)</f>
        <v>92.810550969026295</v>
      </c>
      <c r="Q303" s="133">
        <f t="shared" ref="Q303:S303" ca="1" si="226">Q304+Q305</f>
        <v>2086950.07</v>
      </c>
      <c r="R303" s="133">
        <f t="shared" ca="1" si="226"/>
        <v>2110572</v>
      </c>
      <c r="S303" s="133">
        <f t="shared" ca="1" si="226"/>
        <v>1693970</v>
      </c>
      <c r="T303" s="133">
        <f t="shared" ref="T303:T311" ca="1" si="227">IF(Q303&gt;0,S303*100/Q303,0)</f>
        <v>81.169646765914237</v>
      </c>
      <c r="U303" s="133">
        <f t="shared" ref="U303:U311" ca="1" si="228">IF(R303&gt;0,S303*100/R303,0)</f>
        <v>80.261180381432141</v>
      </c>
    </row>
    <row r="304" spans="1:21" ht="18.75" hidden="1" x14ac:dyDescent="0.25">
      <c r="A304" s="129"/>
      <c r="B304" s="41"/>
      <c r="C304" s="41"/>
      <c r="D304" s="41"/>
      <c r="E304" s="48" t="s">
        <v>20</v>
      </c>
      <c r="F304" s="41"/>
      <c r="G304" s="43"/>
      <c r="H304" s="134" t="s">
        <v>14</v>
      </c>
      <c r="I304" s="45"/>
      <c r="J304" s="45"/>
      <c r="K304" s="46"/>
      <c r="L304" s="47">
        <f t="shared" ref="L304:N304" ca="1" si="229">L307+L310</f>
        <v>0</v>
      </c>
      <c r="M304" s="47">
        <f t="shared" ca="1" si="229"/>
        <v>0</v>
      </c>
      <c r="N304" s="47">
        <f t="shared" ca="1" si="229"/>
        <v>0</v>
      </c>
      <c r="O304" s="47">
        <f t="shared" ca="1" si="224"/>
        <v>0</v>
      </c>
      <c r="P304" s="47">
        <f t="shared" ca="1" si="225"/>
        <v>0</v>
      </c>
      <c r="Q304" s="47">
        <f t="shared" ref="Q304:S304" ca="1" si="230">Q307+Q310</f>
        <v>0</v>
      </c>
      <c r="R304" s="47">
        <f t="shared" ca="1" si="230"/>
        <v>0</v>
      </c>
      <c r="S304" s="47">
        <f t="shared" ca="1" si="230"/>
        <v>0</v>
      </c>
      <c r="T304" s="49">
        <f t="shared" ca="1" si="227"/>
        <v>0</v>
      </c>
      <c r="U304" s="49">
        <f t="shared" ca="1" si="228"/>
        <v>0</v>
      </c>
    </row>
    <row r="305" spans="1:21" ht="18.75" hidden="1" x14ac:dyDescent="0.25">
      <c r="A305" s="129"/>
      <c r="B305" s="41"/>
      <c r="C305" s="41"/>
      <c r="D305" s="41"/>
      <c r="E305" s="48" t="s">
        <v>21</v>
      </c>
      <c r="F305" s="41"/>
      <c r="G305" s="43"/>
      <c r="H305" s="134" t="s">
        <v>14</v>
      </c>
      <c r="I305" s="45"/>
      <c r="J305" s="45"/>
      <c r="K305" s="46"/>
      <c r="L305" s="47">
        <f t="shared" ref="L305:N305" ca="1" si="231">L308+L311</f>
        <v>426975</v>
      </c>
      <c r="M305" s="47">
        <f t="shared" ca="1" si="231"/>
        <v>426975</v>
      </c>
      <c r="N305" s="47">
        <f t="shared" ca="1" si="231"/>
        <v>396277.85</v>
      </c>
      <c r="O305" s="47">
        <f t="shared" ca="1" si="224"/>
        <v>92.810550969026295</v>
      </c>
      <c r="P305" s="47">
        <f t="shared" ca="1" si="225"/>
        <v>92.810550969026295</v>
      </c>
      <c r="Q305" s="47">
        <f t="shared" ref="Q305:S305" ca="1" si="232">Q308+Q311</f>
        <v>2086950.07</v>
      </c>
      <c r="R305" s="47">
        <f t="shared" ca="1" si="232"/>
        <v>2110572</v>
      </c>
      <c r="S305" s="47">
        <f t="shared" ca="1" si="232"/>
        <v>1693970</v>
      </c>
      <c r="T305" s="47">
        <f t="shared" ca="1" si="227"/>
        <v>81.169646765914237</v>
      </c>
      <c r="U305" s="47">
        <f t="shared" ca="1" si="228"/>
        <v>80.261180381432141</v>
      </c>
    </row>
    <row r="306" spans="1:21" ht="18.75" x14ac:dyDescent="0.25">
      <c r="A306" s="129"/>
      <c r="B306" s="41"/>
      <c r="C306" s="41"/>
      <c r="D306" s="42" t="s">
        <v>22</v>
      </c>
      <c r="E306" s="41"/>
      <c r="F306" s="41"/>
      <c r="G306" s="43"/>
      <c r="H306" s="135" t="s">
        <v>14</v>
      </c>
      <c r="I306" s="136"/>
      <c r="J306" s="136"/>
      <c r="K306" s="137"/>
      <c r="L306" s="47">
        <f t="shared" ref="L306:N306" ca="1" si="233">L307+L308</f>
        <v>426975</v>
      </c>
      <c r="M306" s="47">
        <f t="shared" ca="1" si="233"/>
        <v>426975</v>
      </c>
      <c r="N306" s="47">
        <f t="shared" ca="1" si="233"/>
        <v>396277.85</v>
      </c>
      <c r="O306" s="47">
        <f t="shared" ca="1" si="224"/>
        <v>92.810550969026295</v>
      </c>
      <c r="P306" s="47">
        <f t="shared" ca="1" si="225"/>
        <v>92.810550969026295</v>
      </c>
      <c r="Q306" s="47">
        <f t="shared" ref="Q306:S306" ca="1" si="234">Q307+Q308</f>
        <v>2086950.07</v>
      </c>
      <c r="R306" s="47">
        <f t="shared" ca="1" si="234"/>
        <v>2110572</v>
      </c>
      <c r="S306" s="47">
        <f t="shared" ca="1" si="234"/>
        <v>1693970</v>
      </c>
      <c r="T306" s="47">
        <f t="shared" ca="1" si="227"/>
        <v>81.169646765914237</v>
      </c>
      <c r="U306" s="47">
        <f t="shared" ca="1" si="228"/>
        <v>80.261180381432141</v>
      </c>
    </row>
    <row r="307" spans="1:21" ht="18.75" hidden="1" x14ac:dyDescent="0.25">
      <c r="A307" s="129"/>
      <c r="B307" s="41"/>
      <c r="C307" s="41"/>
      <c r="D307" s="41"/>
      <c r="E307" s="48" t="s">
        <v>36</v>
      </c>
      <c r="F307" s="41"/>
      <c r="G307" s="43"/>
      <c r="H307" s="135" t="s">
        <v>14</v>
      </c>
      <c r="I307" s="136"/>
      <c r="J307" s="136"/>
      <c r="K307" s="137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4"/>
        <v>0</v>
      </c>
      <c r="P307" s="47">
        <f t="shared" ca="1" si="225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7"/>
        <v>0</v>
      </c>
      <c r="U307" s="49">
        <f t="shared" ca="1" si="228"/>
        <v>0</v>
      </c>
    </row>
    <row r="308" spans="1:21" ht="18.75" hidden="1" x14ac:dyDescent="0.25">
      <c r="A308" s="129"/>
      <c r="B308" s="41"/>
      <c r="C308" s="41"/>
      <c r="D308" s="41"/>
      <c r="E308" s="48" t="s">
        <v>37</v>
      </c>
      <c r="F308" s="41"/>
      <c r="G308" s="43"/>
      <c r="H308" s="135" t="s">
        <v>14</v>
      </c>
      <c r="I308" s="136"/>
      <c r="J308" s="136"/>
      <c r="K308" s="137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426975)</f>
        <v>426975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396277.85)</f>
        <v>396277.85</v>
      </c>
      <c r="O308" s="47">
        <f t="shared" ca="1" si="224"/>
        <v>92.810550969026295</v>
      </c>
      <c r="P308" s="47">
        <f t="shared" ca="1" si="225"/>
        <v>92.810550969026295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2110572)</f>
        <v>2110572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1693970)</f>
        <v>1693970</v>
      </c>
      <c r="T308" s="47">
        <f t="shared" ca="1" si="227"/>
        <v>81.169646765914237</v>
      </c>
      <c r="U308" s="47">
        <f t="shared" ca="1" si="228"/>
        <v>80.261180381432141</v>
      </c>
    </row>
    <row r="309" spans="1:21" ht="18.75" x14ac:dyDescent="0.25">
      <c r="A309" s="129"/>
      <c r="B309" s="41"/>
      <c r="C309" s="41"/>
      <c r="D309" s="42" t="s">
        <v>23</v>
      </c>
      <c r="E309" s="41"/>
      <c r="F309" s="41"/>
      <c r="G309" s="43"/>
      <c r="H309" s="138" t="s">
        <v>14</v>
      </c>
      <c r="I309" s="136"/>
      <c r="J309" s="136"/>
      <c r="K309" s="137"/>
      <c r="L309" s="47">
        <f t="shared" ref="L309:N309" ca="1" si="235">L310+L311</f>
        <v>0</v>
      </c>
      <c r="M309" s="47">
        <f t="shared" ca="1" si="235"/>
        <v>0</v>
      </c>
      <c r="N309" s="47">
        <f t="shared" ca="1" si="235"/>
        <v>0</v>
      </c>
      <c r="O309" s="47">
        <f t="shared" ca="1" si="224"/>
        <v>0</v>
      </c>
      <c r="P309" s="47">
        <f t="shared" ca="1" si="225"/>
        <v>0</v>
      </c>
      <c r="Q309" s="47">
        <f t="shared" ref="Q309:S309" ca="1" si="236">Q310+Q311</f>
        <v>0</v>
      </c>
      <c r="R309" s="47">
        <f t="shared" ca="1" si="236"/>
        <v>0</v>
      </c>
      <c r="S309" s="47">
        <f t="shared" ca="1" si="236"/>
        <v>0</v>
      </c>
      <c r="T309" s="47">
        <f t="shared" ca="1" si="227"/>
        <v>0</v>
      </c>
      <c r="U309" s="47">
        <f t="shared" ca="1" si="228"/>
        <v>0</v>
      </c>
    </row>
    <row r="310" spans="1:21" ht="18.75" hidden="1" x14ac:dyDescent="0.25">
      <c r="A310" s="129"/>
      <c r="B310" s="41"/>
      <c r="C310" s="41"/>
      <c r="D310" s="41"/>
      <c r="E310" s="48" t="s">
        <v>20</v>
      </c>
      <c r="F310" s="41"/>
      <c r="G310" s="43"/>
      <c r="H310" s="135" t="s">
        <v>14</v>
      </c>
      <c r="I310" s="136"/>
      <c r="J310" s="136"/>
      <c r="K310" s="137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4"/>
        <v>0</v>
      </c>
      <c r="P310" s="47">
        <f t="shared" ca="1" si="225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7"/>
        <v>0</v>
      </c>
      <c r="U310" s="49">
        <f t="shared" ca="1" si="228"/>
        <v>0</v>
      </c>
    </row>
    <row r="311" spans="1:21" ht="18.75" hidden="1" x14ac:dyDescent="0.25">
      <c r="A311" s="129"/>
      <c r="B311" s="41"/>
      <c r="C311" s="41"/>
      <c r="D311" s="41"/>
      <c r="E311" s="48" t="s">
        <v>21</v>
      </c>
      <c r="F311" s="41"/>
      <c r="G311" s="43"/>
      <c r="H311" s="138" t="s">
        <v>14</v>
      </c>
      <c r="I311" s="136"/>
      <c r="J311" s="136"/>
      <c r="K311" s="137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4"/>
        <v>0</v>
      </c>
      <c r="P311" s="47">
        <f t="shared" ca="1" si="225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7"/>
        <v>0</v>
      </c>
      <c r="U311" s="47">
        <f t="shared" ca="1" si="228"/>
        <v>0</v>
      </c>
    </row>
    <row r="312" spans="1:21" ht="19.5" x14ac:dyDescent="0.3">
      <c r="A312" s="139"/>
      <c r="B312" s="140"/>
      <c r="C312" s="130" t="s">
        <v>18</v>
      </c>
      <c r="D312" s="141" t="s">
        <v>38</v>
      </c>
      <c r="E312" s="142"/>
      <c r="F312" s="142"/>
      <c r="G312" s="143"/>
      <c r="H312" s="144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9"/>
      <c r="B313" s="140"/>
      <c r="C313" s="140"/>
      <c r="D313" s="168" t="s">
        <v>131</v>
      </c>
      <c r="E313" s="146"/>
      <c r="F313" s="146"/>
      <c r="G313" s="144"/>
      <c r="H313" s="144"/>
      <c r="I313" s="45"/>
      <c r="J313" s="153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9"/>
      <c r="B314" s="140"/>
      <c r="C314" s="140"/>
      <c r="D314" s="150" t="s">
        <v>121</v>
      </c>
      <c r="E314" s="146"/>
      <c r="F314" s="146"/>
      <c r="G314" s="144"/>
      <c r="H314" s="151" t="s">
        <v>35</v>
      </c>
      <c r="I314" s="153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3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235)</f>
        <v>235</v>
      </c>
      <c r="K314" s="47">
        <f t="shared" ref="K314:K317" ca="1" si="237">IF(I314&gt;0,J314*100/I314,0)</f>
        <v>100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9"/>
      <c r="B315" s="140"/>
      <c r="C315" s="140"/>
      <c r="D315" s="150" t="s">
        <v>132</v>
      </c>
      <c r="E315" s="146"/>
      <c r="F315" s="146"/>
      <c r="G315" s="144"/>
      <c r="H315" s="151" t="s">
        <v>35</v>
      </c>
      <c r="I315" s="153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3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7"/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9"/>
      <c r="B316" s="140"/>
      <c r="C316" s="140"/>
      <c r="D316" s="168" t="s">
        <v>50</v>
      </c>
      <c r="E316" s="146"/>
      <c r="F316" s="146"/>
      <c r="G316" s="144"/>
      <c r="H316" s="151" t="s">
        <v>35</v>
      </c>
      <c r="I316" s="153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3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7"/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</row>
    <row r="317" spans="1:21" ht="18.75" x14ac:dyDescent="0.25">
      <c r="A317" s="225"/>
      <c r="B317" s="160"/>
      <c r="C317" s="160"/>
      <c r="D317" s="48" t="s">
        <v>133</v>
      </c>
      <c r="E317" s="41"/>
      <c r="F317" s="41"/>
      <c r="G317" s="43"/>
      <c r="H317" s="44" t="s">
        <v>35</v>
      </c>
      <c r="I317" s="153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3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7"/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</row>
    <row r="318" spans="1:21" ht="19.5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315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38">I330</f>
        <v>5</v>
      </c>
      <c r="J319" s="321">
        <f t="shared" ca="1" si="238"/>
        <v>5</v>
      </c>
      <c r="K319" s="322">
        <f ca="1">IF(I319&gt;0,J319*100/I319,0)</f>
        <v>100</v>
      </c>
      <c r="L319" s="323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x14ac:dyDescent="0.3">
      <c r="A320" s="129"/>
      <c r="B320" s="41"/>
      <c r="C320" s="130" t="s">
        <v>18</v>
      </c>
      <c r="D320" s="131" t="s">
        <v>19</v>
      </c>
      <c r="E320" s="41"/>
      <c r="F320" s="41"/>
      <c r="G320" s="43"/>
      <c r="H320" s="132" t="s">
        <v>14</v>
      </c>
      <c r="I320" s="45"/>
      <c r="J320" s="45"/>
      <c r="K320" s="46"/>
      <c r="L320" s="133">
        <f t="shared" ref="L320:N320" ca="1" si="239">L321+L322</f>
        <v>5097000</v>
      </c>
      <c r="M320" s="133">
        <f t="shared" ca="1" si="239"/>
        <v>4883800</v>
      </c>
      <c r="N320" s="133">
        <f t="shared" ca="1" si="239"/>
        <v>4640104.3</v>
      </c>
      <c r="O320" s="133">
        <f t="shared" ref="O320:O328" ca="1" si="240">IF(L320&gt;0,N320*100/L320,0)</f>
        <v>91.035987835981956</v>
      </c>
      <c r="P320" s="133">
        <f t="shared" ref="P320:P328" ca="1" si="241">IF(M320&gt;0,N320*100/M320,0)</f>
        <v>95.010121217085057</v>
      </c>
      <c r="Q320" s="133">
        <f t="shared" ref="Q320:S320" ca="1" si="242">Q321+Q322</f>
        <v>0</v>
      </c>
      <c r="R320" s="133">
        <f t="shared" ca="1" si="242"/>
        <v>0</v>
      </c>
      <c r="S320" s="133">
        <f t="shared" ca="1" si="242"/>
        <v>0</v>
      </c>
      <c r="T320" s="133">
        <f t="shared" ref="T320:T328" ca="1" si="243">IF(Q320&gt;0,S320*100/Q320,0)</f>
        <v>0</v>
      </c>
      <c r="U320" s="133">
        <f t="shared" ref="U320:U328" ca="1" si="244">IF(R320&gt;0,S320*100/R320,0)</f>
        <v>0</v>
      </c>
    </row>
    <row r="321" spans="1:21" ht="18.75" hidden="1" x14ac:dyDescent="0.25">
      <c r="A321" s="129"/>
      <c r="B321" s="41"/>
      <c r="C321" s="41"/>
      <c r="D321" s="41"/>
      <c r="E321" s="48" t="s">
        <v>20</v>
      </c>
      <c r="F321" s="41"/>
      <c r="G321" s="43"/>
      <c r="H321" s="134" t="s">
        <v>14</v>
      </c>
      <c r="I321" s="45"/>
      <c r="J321" s="45"/>
      <c r="K321" s="46"/>
      <c r="L321" s="47">
        <f t="shared" ref="L321:N321" ca="1" si="245">L324+L327</f>
        <v>0</v>
      </c>
      <c r="M321" s="47">
        <f t="shared" ca="1" si="245"/>
        <v>0</v>
      </c>
      <c r="N321" s="47">
        <f t="shared" ca="1" si="245"/>
        <v>0</v>
      </c>
      <c r="O321" s="47">
        <f t="shared" ca="1" si="240"/>
        <v>0</v>
      </c>
      <c r="P321" s="47">
        <f t="shared" ca="1" si="241"/>
        <v>0</v>
      </c>
      <c r="Q321" s="47">
        <f t="shared" ref="Q321:S321" ca="1" si="246">Q324+Q327</f>
        <v>0</v>
      </c>
      <c r="R321" s="47">
        <f t="shared" ca="1" si="246"/>
        <v>0</v>
      </c>
      <c r="S321" s="47">
        <f t="shared" ca="1" si="246"/>
        <v>0</v>
      </c>
      <c r="T321" s="49">
        <f t="shared" ca="1" si="243"/>
        <v>0</v>
      </c>
      <c r="U321" s="49">
        <f t="shared" ca="1" si="244"/>
        <v>0</v>
      </c>
    </row>
    <row r="322" spans="1:21" ht="18.75" hidden="1" x14ac:dyDescent="0.25">
      <c r="A322" s="129"/>
      <c r="B322" s="41"/>
      <c r="C322" s="41"/>
      <c r="D322" s="41"/>
      <c r="E322" s="48" t="s">
        <v>21</v>
      </c>
      <c r="F322" s="41"/>
      <c r="G322" s="43"/>
      <c r="H322" s="134" t="s">
        <v>14</v>
      </c>
      <c r="I322" s="45"/>
      <c r="J322" s="45"/>
      <c r="K322" s="46"/>
      <c r="L322" s="47">
        <f t="shared" ref="L322:N322" ca="1" si="247">L325+L328</f>
        <v>5097000</v>
      </c>
      <c r="M322" s="47">
        <f t="shared" ca="1" si="247"/>
        <v>4883800</v>
      </c>
      <c r="N322" s="47">
        <f t="shared" ca="1" si="247"/>
        <v>4640104.3</v>
      </c>
      <c r="O322" s="47">
        <f t="shared" ca="1" si="240"/>
        <v>91.035987835981956</v>
      </c>
      <c r="P322" s="47">
        <f t="shared" ca="1" si="241"/>
        <v>95.010121217085057</v>
      </c>
      <c r="Q322" s="47">
        <f t="shared" ref="Q322:S322" ca="1" si="248">Q325+Q328</f>
        <v>0</v>
      </c>
      <c r="R322" s="47">
        <f t="shared" ca="1" si="248"/>
        <v>0</v>
      </c>
      <c r="S322" s="47">
        <f t="shared" ca="1" si="248"/>
        <v>0</v>
      </c>
      <c r="T322" s="47">
        <f t="shared" ca="1" si="243"/>
        <v>0</v>
      </c>
      <c r="U322" s="47">
        <f t="shared" ca="1" si="244"/>
        <v>0</v>
      </c>
    </row>
    <row r="323" spans="1:21" ht="18.75" x14ac:dyDescent="0.25">
      <c r="A323" s="129"/>
      <c r="B323" s="41"/>
      <c r="C323" s="41"/>
      <c r="D323" s="42" t="s">
        <v>22</v>
      </c>
      <c r="E323" s="41"/>
      <c r="F323" s="41"/>
      <c r="G323" s="43"/>
      <c r="H323" s="135" t="s">
        <v>14</v>
      </c>
      <c r="I323" s="136"/>
      <c r="J323" s="136"/>
      <c r="K323" s="137"/>
      <c r="L323" s="47">
        <f t="shared" ref="L323:N323" ca="1" si="249">L324+L325</f>
        <v>610000</v>
      </c>
      <c r="M323" s="47">
        <f t="shared" ca="1" si="249"/>
        <v>610000</v>
      </c>
      <c r="N323" s="47">
        <f t="shared" ca="1" si="249"/>
        <v>537282.28</v>
      </c>
      <c r="O323" s="47">
        <f t="shared" ca="1" si="240"/>
        <v>88.079062295081968</v>
      </c>
      <c r="P323" s="47">
        <f t="shared" ca="1" si="241"/>
        <v>88.079062295081968</v>
      </c>
      <c r="Q323" s="47">
        <f t="shared" ref="Q323:S323" ca="1" si="250">Q324+Q325</f>
        <v>0</v>
      </c>
      <c r="R323" s="47">
        <f t="shared" ca="1" si="250"/>
        <v>0</v>
      </c>
      <c r="S323" s="47">
        <f t="shared" ca="1" si="250"/>
        <v>0</v>
      </c>
      <c r="T323" s="47">
        <f t="shared" ca="1" si="243"/>
        <v>0</v>
      </c>
      <c r="U323" s="47">
        <f t="shared" ca="1" si="244"/>
        <v>0</v>
      </c>
    </row>
    <row r="324" spans="1:21" ht="18.75" hidden="1" x14ac:dyDescent="0.25">
      <c r="A324" s="129"/>
      <c r="B324" s="41"/>
      <c r="C324" s="41"/>
      <c r="D324" s="41"/>
      <c r="E324" s="48" t="s">
        <v>36</v>
      </c>
      <c r="F324" s="41"/>
      <c r="G324" s="43"/>
      <c r="H324" s="135" t="s">
        <v>14</v>
      </c>
      <c r="I324" s="136"/>
      <c r="J324" s="136"/>
      <c r="K324" s="137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40"/>
        <v>0</v>
      </c>
      <c r="P324" s="47">
        <f t="shared" ca="1" si="241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3"/>
        <v>0</v>
      </c>
      <c r="U324" s="49">
        <f t="shared" ca="1" si="244"/>
        <v>0</v>
      </c>
    </row>
    <row r="325" spans="1:21" ht="18.75" hidden="1" x14ac:dyDescent="0.25">
      <c r="A325" s="129"/>
      <c r="B325" s="41"/>
      <c r="C325" s="41"/>
      <c r="D325" s="41"/>
      <c r="E325" s="48" t="s">
        <v>37</v>
      </c>
      <c r="F325" s="41"/>
      <c r="G325" s="43"/>
      <c r="H325" s="135" t="s">
        <v>14</v>
      </c>
      <c r="I325" s="136"/>
      <c r="J325" s="136"/>
      <c r="K325" s="137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610000)</f>
        <v>610000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537282.28)</f>
        <v>537282.28</v>
      </c>
      <c r="O325" s="47">
        <f t="shared" ca="1" si="240"/>
        <v>88.079062295081968</v>
      </c>
      <c r="P325" s="47">
        <f t="shared" ca="1" si="241"/>
        <v>88.079062295081968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3"/>
        <v>0</v>
      </c>
      <c r="U325" s="47">
        <f t="shared" ca="1" si="244"/>
        <v>0</v>
      </c>
    </row>
    <row r="326" spans="1:21" ht="18.75" x14ac:dyDescent="0.25">
      <c r="A326" s="129"/>
      <c r="B326" s="41"/>
      <c r="C326" s="41"/>
      <c r="D326" s="42" t="s">
        <v>23</v>
      </c>
      <c r="E326" s="41"/>
      <c r="F326" s="41"/>
      <c r="G326" s="43"/>
      <c r="H326" s="138" t="s">
        <v>14</v>
      </c>
      <c r="I326" s="136"/>
      <c r="J326" s="136"/>
      <c r="K326" s="137"/>
      <c r="L326" s="47">
        <f t="shared" ref="L326:N326" ca="1" si="251">L327+L328</f>
        <v>4487000</v>
      </c>
      <c r="M326" s="47">
        <f t="shared" ca="1" si="251"/>
        <v>4273800</v>
      </c>
      <c r="N326" s="47">
        <f t="shared" ca="1" si="251"/>
        <v>4102822.02</v>
      </c>
      <c r="O326" s="47">
        <f t="shared" ca="1" si="240"/>
        <v>91.437976821930022</v>
      </c>
      <c r="P326" s="47">
        <f t="shared" ca="1" si="241"/>
        <v>95.999392110065983</v>
      </c>
      <c r="Q326" s="47">
        <f t="shared" ref="Q326:S326" ca="1" si="252">Q327+Q328</f>
        <v>0</v>
      </c>
      <c r="R326" s="47">
        <f t="shared" ca="1" si="252"/>
        <v>0</v>
      </c>
      <c r="S326" s="47">
        <f t="shared" ca="1" si="252"/>
        <v>0</v>
      </c>
      <c r="T326" s="47">
        <f t="shared" ca="1" si="243"/>
        <v>0</v>
      </c>
      <c r="U326" s="47">
        <f t="shared" ca="1" si="244"/>
        <v>0</v>
      </c>
    </row>
    <row r="327" spans="1:21" ht="18.75" hidden="1" x14ac:dyDescent="0.25">
      <c r="A327" s="129"/>
      <c r="B327" s="41"/>
      <c r="C327" s="41"/>
      <c r="D327" s="41"/>
      <c r="E327" s="48" t="s">
        <v>20</v>
      </c>
      <c r="F327" s="41"/>
      <c r="G327" s="43"/>
      <c r="H327" s="135" t="s">
        <v>14</v>
      </c>
      <c r="I327" s="136"/>
      <c r="J327" s="136"/>
      <c r="K327" s="137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40"/>
        <v>0</v>
      </c>
      <c r="P327" s="47">
        <f t="shared" ca="1" si="241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3"/>
        <v>0</v>
      </c>
      <c r="U327" s="49">
        <f t="shared" ca="1" si="244"/>
        <v>0</v>
      </c>
    </row>
    <row r="328" spans="1:21" ht="18.75" hidden="1" x14ac:dyDescent="0.25">
      <c r="A328" s="129"/>
      <c r="B328" s="41"/>
      <c r="C328" s="41"/>
      <c r="D328" s="41"/>
      <c r="E328" s="48" t="s">
        <v>21</v>
      </c>
      <c r="F328" s="41"/>
      <c r="G328" s="43"/>
      <c r="H328" s="138" t="s">
        <v>14</v>
      </c>
      <c r="I328" s="136"/>
      <c r="J328" s="136"/>
      <c r="K328" s="137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4273800)</f>
        <v>4273800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4102822.02)</f>
        <v>4102822.02</v>
      </c>
      <c r="O328" s="47">
        <f t="shared" ca="1" si="240"/>
        <v>91.437976821930022</v>
      </c>
      <c r="P328" s="47">
        <f t="shared" ca="1" si="241"/>
        <v>95.999392110065983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3"/>
        <v>0</v>
      </c>
      <c r="U328" s="47">
        <f t="shared" ca="1" si="244"/>
        <v>0</v>
      </c>
    </row>
    <row r="329" spans="1:21" ht="19.5" x14ac:dyDescent="0.3">
      <c r="A329" s="139"/>
      <c r="B329" s="140"/>
      <c r="C329" s="130" t="s">
        <v>18</v>
      </c>
      <c r="D329" s="141" t="s">
        <v>38</v>
      </c>
      <c r="E329" s="142"/>
      <c r="F329" s="142"/>
      <c r="G329" s="143"/>
      <c r="H329" s="144"/>
      <c r="I329" s="136"/>
      <c r="J329" s="45"/>
      <c r="K329" s="46"/>
      <c r="L329" s="46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x14ac:dyDescent="0.25">
      <c r="A330" s="139"/>
      <c r="B330" s="140"/>
      <c r="C330" s="140"/>
      <c r="D330" s="145" t="s">
        <v>137</v>
      </c>
      <c r="E330" s="146"/>
      <c r="F330" s="146"/>
      <c r="G330" s="144"/>
      <c r="H330" s="44" t="s">
        <v>136</v>
      </c>
      <c r="I330" s="153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5)</f>
        <v>5</v>
      </c>
      <c r="J330" s="153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5)</f>
        <v>5</v>
      </c>
      <c r="K330" s="47">
        <f ca="1">IF(I330&gt;0,J330*100/I330,0)</f>
        <v>100</v>
      </c>
      <c r="L330" s="46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315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321">
        <f ca="1">IFERROR(__xludf.DUMMYFUNCTION("IMPORTRANGE(""https://docs.google.com/spreadsheets/d/1kKUcYdkIfrgTSj8iHHHB2MD2FAtwyyocFgqGQn6ADyI/edit?usp=sharing"",""กระบี่!I332"")+IMPORTRANGE(""https://docs.google.com/spreadsheets/d/1GwtLaSlNZkLk7iDqcyZz22giiy40b_usZZBXYciEN1U/edit?usp=sharing"",""ชุ"&amp;"มพร!I332"")+IMPORTRANGE(""https://docs.google.com/spreadsheets/d/16pAz3pOhQEZBhvFNMa5KGgZS6iKWpsKX0pg6tQmwFpo/edit?usp=sharing"",""ตรัง!I332"")+IMPORTRANGE(""https://docs.google.com/spreadsheets/d/1Dj4jcHCTV9JXKCaMoheSXS52JE63kDKyG7bPXnFogHk/edit?usp=shar"&amp;"ing"",""นครศรีธรรมราช!I332"")+IMPORTRANGE(""https://docs.google.com/spreadsheets/d/1iodCdmuK2GR3jzUwk8tpccY2JHQQA-87DLOtJP-ooyU/edit?usp=sharing"",""นราธิวาส!I332"")+IMPORTRANGE(""https://docs.google.com/spreadsheets/d/1SDNX3JhDdYRuIOsj0Wh2M-Qa_eaXl0NbWmh"&amp;"AOTbfQAs/edit?usp=sharing"",""ปัตตานี!I332"")+IMPORTRANGE(""https://docs.google.com/spreadsheets/d/16JDLGguT8s5DsGCND1KcwHP_AWR_zDMTqLHPLJUKhaU/edit?usp=sharing"",""พังงา!I332"")+IMPORTRANGE(""https://docs.google.com/spreadsheets/d/17ht0gPKzzT3PObBL1XJkeR"&amp;"mntBXI7wGjpLV7QorqlTk/edit?usp=sharing"",""พัทลุง!I332"")+IMPORTRANGE(""https://docs.google.com/spreadsheets/d/1rd4qoM1q_hsgaolqNGfrim9gbsoLxQsda4-vOz5x_BM/edit?usp=sharing"",""ภูเก็ต!I332"")+IMPORTRANGE(""https://docs.google.com/spreadsheets/d/1woKwKjgoL"&amp;"ssDvPcPeVyezB5izizAn4X1JDrys69n6xI/edit?usp=sharing"",""ยะลา!I332"")+IMPORTRANGE(""https://docs.google.com/spreadsheets/d/1qfrKjzMhm2HJfxQ-qVlJlJQ25Hne1d0khsySbZyGtPA/edit?usp=sharing"",""ระนอง!I332"")+IMPORTRANGE(""https://docs.google.com/spreadsheets/d/"&amp;"1IbSCnFOKpZsnFogBHJnL_isstZVaOMnFiIN0fGTPZZw/edit?usp=sharing"",""สงขลา!I332"")+IMPORTRANGE(""https://docs.google.com/spreadsheets/d/1q9nWasZJ-K8bFGvbE9n0qSRuKGA4Toe3Y89cKCiVtCU/edit?usp=sharing"",""สตูล!I332"")+IMPORTRANGE(""https://docs.google.com/sprea"&amp;"dsheets/d/18T20gbkS_WBjdscyTOV05cvq_JqvqQ17C81mpxf7Ncs/edit?usp=sharing"",""สุราษฎร์ธานี!I332"")"),18180)</f>
        <v>18180</v>
      </c>
      <c r="J332" s="321">
        <f ca="1">J344+J347+J348+J349+J353+J354</f>
        <v>81158</v>
      </c>
      <c r="K332" s="322">
        <f ca="1">IF(I332&gt;0,J332*100/I332,0)</f>
        <v>446.41364136413642</v>
      </c>
      <c r="L332" s="323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41"/>
      <c r="C333" s="130" t="s">
        <v>18</v>
      </c>
      <c r="D333" s="131" t="s">
        <v>19</v>
      </c>
      <c r="E333" s="41"/>
      <c r="F333" s="41"/>
      <c r="G333" s="43"/>
      <c r="H333" s="132" t="s">
        <v>14</v>
      </c>
      <c r="I333" s="45"/>
      <c r="J333" s="45"/>
      <c r="K333" s="46"/>
      <c r="L333" s="133">
        <f t="shared" ref="L333:N333" ca="1" si="253">L334+L335</f>
        <v>3831100</v>
      </c>
      <c r="M333" s="133">
        <f t="shared" ca="1" si="253"/>
        <v>3882275</v>
      </c>
      <c r="N333" s="133">
        <f t="shared" ca="1" si="253"/>
        <v>3618976.8999999901</v>
      </c>
      <c r="O333" s="133">
        <f t="shared" ref="O333:O341" ca="1" si="254">IF(L333&gt;0,N333*100/L333,0)</f>
        <v>94.463128083317841</v>
      </c>
      <c r="P333" s="133">
        <f t="shared" ref="P333:P341" ca="1" si="255">IF(M333&gt;0,N333*100/M333,0)</f>
        <v>93.217943087493538</v>
      </c>
      <c r="Q333" s="133">
        <f t="shared" ref="Q333:S333" ca="1" si="256">Q334+Q335</f>
        <v>0</v>
      </c>
      <c r="R333" s="133">
        <f t="shared" ca="1" si="256"/>
        <v>0</v>
      </c>
      <c r="S333" s="133">
        <f t="shared" ca="1" si="256"/>
        <v>0</v>
      </c>
      <c r="T333" s="133">
        <f t="shared" ref="T333:T341" ca="1" si="257">IF(Q333&gt;0,S333*100/Q333,0)</f>
        <v>0</v>
      </c>
      <c r="U333" s="133">
        <f t="shared" ref="U333:U341" ca="1" si="258">IF(R333&gt;0,S333*100/R333,0)</f>
        <v>0</v>
      </c>
    </row>
    <row r="334" spans="1:21" ht="18.75" hidden="1" x14ac:dyDescent="0.25">
      <c r="A334" s="129"/>
      <c r="B334" s="41"/>
      <c r="C334" s="41"/>
      <c r="D334" s="41"/>
      <c r="E334" s="48" t="s">
        <v>20</v>
      </c>
      <c r="F334" s="41"/>
      <c r="G334" s="43"/>
      <c r="H334" s="134" t="s">
        <v>14</v>
      </c>
      <c r="I334" s="45"/>
      <c r="J334" s="45"/>
      <c r="K334" s="46"/>
      <c r="L334" s="47">
        <f t="shared" ref="L334:N334" ca="1" si="259">L337+L340</f>
        <v>0</v>
      </c>
      <c r="M334" s="47">
        <f t="shared" ca="1" si="259"/>
        <v>0</v>
      </c>
      <c r="N334" s="47">
        <f t="shared" ca="1" si="259"/>
        <v>0</v>
      </c>
      <c r="O334" s="47">
        <f t="shared" ca="1" si="254"/>
        <v>0</v>
      </c>
      <c r="P334" s="47">
        <f t="shared" ca="1" si="255"/>
        <v>0</v>
      </c>
      <c r="Q334" s="47">
        <f t="shared" ref="Q334:S334" ca="1" si="260">Q337+Q340</f>
        <v>0</v>
      </c>
      <c r="R334" s="47">
        <f t="shared" ca="1" si="260"/>
        <v>0</v>
      </c>
      <c r="S334" s="47">
        <f t="shared" ca="1" si="260"/>
        <v>0</v>
      </c>
      <c r="T334" s="49">
        <f t="shared" ca="1" si="257"/>
        <v>0</v>
      </c>
      <c r="U334" s="49">
        <f t="shared" ca="1" si="258"/>
        <v>0</v>
      </c>
    </row>
    <row r="335" spans="1:21" ht="18.75" hidden="1" x14ac:dyDescent="0.25">
      <c r="A335" s="129"/>
      <c r="B335" s="41"/>
      <c r="C335" s="41"/>
      <c r="D335" s="41"/>
      <c r="E335" s="48" t="s">
        <v>21</v>
      </c>
      <c r="F335" s="41"/>
      <c r="G335" s="43"/>
      <c r="H335" s="134" t="s">
        <v>14</v>
      </c>
      <c r="I335" s="45"/>
      <c r="J335" s="45"/>
      <c r="K335" s="46"/>
      <c r="L335" s="47">
        <f t="shared" ref="L335:N335" ca="1" si="261">L338+L341</f>
        <v>3831100</v>
      </c>
      <c r="M335" s="47">
        <f t="shared" ca="1" si="261"/>
        <v>3882275</v>
      </c>
      <c r="N335" s="47">
        <f t="shared" ca="1" si="261"/>
        <v>3618976.8999999901</v>
      </c>
      <c r="O335" s="47">
        <f t="shared" ca="1" si="254"/>
        <v>94.463128083317841</v>
      </c>
      <c r="P335" s="47">
        <f t="shared" ca="1" si="255"/>
        <v>93.217943087493538</v>
      </c>
      <c r="Q335" s="47">
        <f t="shared" ref="Q335:S335" ca="1" si="262">Q338+Q341</f>
        <v>0</v>
      </c>
      <c r="R335" s="47">
        <f t="shared" ca="1" si="262"/>
        <v>0</v>
      </c>
      <c r="S335" s="47">
        <f t="shared" ca="1" si="262"/>
        <v>0</v>
      </c>
      <c r="T335" s="47">
        <f t="shared" ca="1" si="257"/>
        <v>0</v>
      </c>
      <c r="U335" s="47">
        <f t="shared" ca="1" si="258"/>
        <v>0</v>
      </c>
    </row>
    <row r="336" spans="1:21" ht="18.75" x14ac:dyDescent="0.25">
      <c r="A336" s="129"/>
      <c r="B336" s="41"/>
      <c r="C336" s="41"/>
      <c r="D336" s="42" t="s">
        <v>22</v>
      </c>
      <c r="E336" s="41"/>
      <c r="F336" s="41"/>
      <c r="G336" s="43"/>
      <c r="H336" s="135" t="s">
        <v>14</v>
      </c>
      <c r="I336" s="136"/>
      <c r="J336" s="136"/>
      <c r="K336" s="137"/>
      <c r="L336" s="47">
        <f t="shared" ref="L336:N336" ca="1" si="263">L337+L338</f>
        <v>2981100</v>
      </c>
      <c r="M336" s="47">
        <f t="shared" ca="1" si="263"/>
        <v>3032275</v>
      </c>
      <c r="N336" s="47">
        <f t="shared" ca="1" si="263"/>
        <v>2768976.8999999901</v>
      </c>
      <c r="O336" s="47">
        <f t="shared" ca="1" si="254"/>
        <v>92.884401730904358</v>
      </c>
      <c r="P336" s="47">
        <f t="shared" ca="1" si="255"/>
        <v>91.316813283755266</v>
      </c>
      <c r="Q336" s="47">
        <f t="shared" ref="Q336:S336" ca="1" si="264">Q337+Q338</f>
        <v>0</v>
      </c>
      <c r="R336" s="47">
        <f t="shared" ca="1" si="264"/>
        <v>0</v>
      </c>
      <c r="S336" s="47">
        <f t="shared" ca="1" si="264"/>
        <v>0</v>
      </c>
      <c r="T336" s="47">
        <f t="shared" ca="1" si="257"/>
        <v>0</v>
      </c>
      <c r="U336" s="47">
        <f t="shared" ca="1" si="258"/>
        <v>0</v>
      </c>
    </row>
    <row r="337" spans="1:21" ht="18.75" hidden="1" x14ac:dyDescent="0.25">
      <c r="A337" s="129"/>
      <c r="B337" s="41"/>
      <c r="C337" s="41"/>
      <c r="D337" s="41"/>
      <c r="E337" s="48" t="s">
        <v>36</v>
      </c>
      <c r="F337" s="41"/>
      <c r="G337" s="43"/>
      <c r="H337" s="135" t="s">
        <v>14</v>
      </c>
      <c r="I337" s="136"/>
      <c r="J337" s="136"/>
      <c r="K337" s="137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4"/>
        <v>0</v>
      </c>
      <c r="P337" s="47">
        <f t="shared" ca="1" si="255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7"/>
        <v>0</v>
      </c>
      <c r="U337" s="49">
        <f t="shared" ca="1" si="258"/>
        <v>0</v>
      </c>
    </row>
    <row r="338" spans="1:21" ht="18.75" hidden="1" x14ac:dyDescent="0.25">
      <c r="A338" s="129"/>
      <c r="B338" s="41"/>
      <c r="C338" s="41"/>
      <c r="D338" s="41"/>
      <c r="E338" s="48" t="s">
        <v>37</v>
      </c>
      <c r="F338" s="41"/>
      <c r="G338" s="43"/>
      <c r="H338" s="135" t="s">
        <v>14</v>
      </c>
      <c r="I338" s="136"/>
      <c r="J338" s="136"/>
      <c r="K338" s="137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3032275)</f>
        <v>3032275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2768976.89999999)</f>
        <v>2768976.8999999901</v>
      </c>
      <c r="O338" s="47">
        <f t="shared" ca="1" si="254"/>
        <v>92.884401730904358</v>
      </c>
      <c r="P338" s="47">
        <f t="shared" ca="1" si="255"/>
        <v>91.316813283755266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7"/>
        <v>0</v>
      </c>
      <c r="U338" s="47">
        <f t="shared" ca="1" si="258"/>
        <v>0</v>
      </c>
    </row>
    <row r="339" spans="1:21" ht="18.75" x14ac:dyDescent="0.25">
      <c r="A339" s="129"/>
      <c r="B339" s="41"/>
      <c r="C339" s="41"/>
      <c r="D339" s="42" t="s">
        <v>23</v>
      </c>
      <c r="E339" s="41"/>
      <c r="F339" s="41"/>
      <c r="G339" s="43"/>
      <c r="H339" s="138" t="s">
        <v>14</v>
      </c>
      <c r="I339" s="136"/>
      <c r="J339" s="136"/>
      <c r="K339" s="137"/>
      <c r="L339" s="47">
        <f t="shared" ref="L339:N339" ca="1" si="265">L340+L341</f>
        <v>850000</v>
      </c>
      <c r="M339" s="47">
        <f t="shared" ca="1" si="265"/>
        <v>850000</v>
      </c>
      <c r="N339" s="47">
        <f t="shared" ca="1" si="265"/>
        <v>850000</v>
      </c>
      <c r="O339" s="47">
        <f t="shared" ca="1" si="254"/>
        <v>100</v>
      </c>
      <c r="P339" s="47">
        <f t="shared" ca="1" si="255"/>
        <v>100</v>
      </c>
      <c r="Q339" s="47">
        <f t="shared" ref="Q339:S339" ca="1" si="266">Q340+Q341</f>
        <v>0</v>
      </c>
      <c r="R339" s="47">
        <f t="shared" ca="1" si="266"/>
        <v>0</v>
      </c>
      <c r="S339" s="47">
        <f t="shared" ca="1" si="266"/>
        <v>0</v>
      </c>
      <c r="T339" s="47">
        <f t="shared" ca="1" si="257"/>
        <v>0</v>
      </c>
      <c r="U339" s="47">
        <f t="shared" ca="1" si="258"/>
        <v>0</v>
      </c>
    </row>
    <row r="340" spans="1:21" ht="18.75" hidden="1" x14ac:dyDescent="0.25">
      <c r="A340" s="129"/>
      <c r="B340" s="41"/>
      <c r="C340" s="41"/>
      <c r="D340" s="41"/>
      <c r="E340" s="48" t="s">
        <v>20</v>
      </c>
      <c r="F340" s="41"/>
      <c r="G340" s="43"/>
      <c r="H340" s="135" t="s">
        <v>14</v>
      </c>
      <c r="I340" s="136"/>
      <c r="J340" s="136"/>
      <c r="K340" s="137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4"/>
        <v>0</v>
      </c>
      <c r="P340" s="47">
        <f t="shared" ca="1" si="255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7"/>
        <v>0</v>
      </c>
      <c r="U340" s="49">
        <f t="shared" ca="1" si="258"/>
        <v>0</v>
      </c>
    </row>
    <row r="341" spans="1:21" ht="18.75" hidden="1" x14ac:dyDescent="0.25">
      <c r="A341" s="129"/>
      <c r="B341" s="41"/>
      <c r="C341" s="41"/>
      <c r="D341" s="41"/>
      <c r="E341" s="48" t="s">
        <v>21</v>
      </c>
      <c r="F341" s="41"/>
      <c r="G341" s="43"/>
      <c r="H341" s="138" t="s">
        <v>14</v>
      </c>
      <c r="I341" s="136"/>
      <c r="J341" s="136"/>
      <c r="K341" s="137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850000)</f>
        <v>850000</v>
      </c>
      <c r="O341" s="47">
        <f t="shared" ca="1" si="254"/>
        <v>100</v>
      </c>
      <c r="P341" s="47">
        <f t="shared" ca="1" si="255"/>
        <v>100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7"/>
        <v>0</v>
      </c>
      <c r="U341" s="47">
        <f t="shared" ca="1" si="258"/>
        <v>0</v>
      </c>
    </row>
    <row r="342" spans="1:21" ht="19.5" x14ac:dyDescent="0.3">
      <c r="A342" s="139"/>
      <c r="B342" s="140"/>
      <c r="C342" s="130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46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230"/>
      <c r="B343" s="233"/>
      <c r="C343" s="231"/>
      <c r="D343" s="233"/>
      <c r="E343" s="328" t="s">
        <v>140</v>
      </c>
      <c r="F343" s="233"/>
      <c r="G343" s="234"/>
      <c r="H343" s="235" t="s">
        <v>35</v>
      </c>
      <c r="I343" s="236">
        <v>0</v>
      </c>
      <c r="J343" s="236">
        <f ca="1">J344+J347+J348+J349</f>
        <v>30921</v>
      </c>
      <c r="K343" s="237">
        <v>0</v>
      </c>
      <c r="L343" s="238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41"/>
      <c r="C344" s="160"/>
      <c r="D344" s="146"/>
      <c r="E344" s="168" t="s">
        <v>141</v>
      </c>
      <c r="F344" s="41"/>
      <c r="G344" s="43"/>
      <c r="H344" s="227" t="s">
        <v>35</v>
      </c>
      <c r="I344" s="153"/>
      <c r="J344" s="153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30152)</f>
        <v>30152</v>
      </c>
      <c r="K344" s="47">
        <f>IF(I344&gt;0,J344*100/I344,0)</f>
        <v>0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41"/>
      <c r="C345" s="160"/>
      <c r="D345" s="146"/>
      <c r="E345" s="168" t="s">
        <v>142</v>
      </c>
      <c r="F345" s="41"/>
      <c r="G345" s="43"/>
      <c r="H345" s="194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41"/>
      <c r="C346" s="160"/>
      <c r="D346" s="146"/>
      <c r="E346" s="146"/>
      <c r="F346" s="168" t="s">
        <v>143</v>
      </c>
      <c r="G346" s="43"/>
      <c r="H346" s="189" t="s">
        <v>144</v>
      </c>
      <c r="I346" s="153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55)</f>
        <v>55</v>
      </c>
      <c r="J346" s="153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66)</f>
        <v>66</v>
      </c>
      <c r="K346" s="47">
        <f ca="1">IF(I346&gt;0,J346*100/I346,0)</f>
        <v>120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41"/>
      <c r="C347" s="160"/>
      <c r="D347" s="146"/>
      <c r="E347" s="146"/>
      <c r="F347" s="168" t="s">
        <v>145</v>
      </c>
      <c r="G347" s="43"/>
      <c r="H347" s="189" t="s">
        <v>35</v>
      </c>
      <c r="I347" s="45"/>
      <c r="J347" s="153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429)</f>
        <v>429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41"/>
      <c r="C348" s="160"/>
      <c r="D348" s="146"/>
      <c r="E348" s="168" t="s">
        <v>146</v>
      </c>
      <c r="F348" s="146"/>
      <c r="G348" s="43"/>
      <c r="H348" s="189" t="s">
        <v>35</v>
      </c>
      <c r="I348" s="45"/>
      <c r="J348" s="153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208)</f>
        <v>208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41"/>
      <c r="C349" s="160"/>
      <c r="D349" s="140"/>
      <c r="E349" s="168" t="s">
        <v>147</v>
      </c>
      <c r="F349" s="146"/>
      <c r="G349" s="43"/>
      <c r="H349" s="189" t="s">
        <v>35</v>
      </c>
      <c r="I349" s="45"/>
      <c r="J349" s="153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160"/>
      <c r="B350" s="41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41"/>
      <c r="F350" s="41"/>
      <c r="G350" s="43"/>
      <c r="H350" s="194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330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50237</v>
      </c>
      <c r="K351" s="237">
        <v>0</v>
      </c>
      <c r="L351" s="238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160"/>
      <c r="B352" s="41"/>
      <c r="C352" s="160"/>
      <c r="D352" s="146"/>
      <c r="E352" s="168" t="s">
        <v>149</v>
      </c>
      <c r="F352" s="41"/>
      <c r="G352" s="43"/>
      <c r="H352" s="134" t="s">
        <v>35</v>
      </c>
      <c r="I352" s="45"/>
      <c r="J352" s="153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10437)</f>
        <v>10437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60"/>
      <c r="B353" s="41"/>
      <c r="C353" s="160"/>
      <c r="D353" s="146"/>
      <c r="E353" s="168" t="s">
        <v>150</v>
      </c>
      <c r="F353" s="41"/>
      <c r="G353" s="43"/>
      <c r="H353" s="134" t="s">
        <v>35</v>
      </c>
      <c r="I353" s="45"/>
      <c r="J353" s="153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41276)</f>
        <v>41276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334" t="s">
        <v>151</v>
      </c>
      <c r="F354" s="332"/>
      <c r="G354" s="335"/>
      <c r="H354" s="336" t="s">
        <v>35</v>
      </c>
      <c r="I354" s="337"/>
      <c r="J354" s="338">
        <f ca="1">IFERROR(__xludf.DUMMYFUNCTION("IMPORTRANGE(""https://docs.google.com/spreadsheets/d/1kKUcYdkIfrgTSj8iHHHB2MD2FAtwyyocFgqGQn6ADyI/edit?usp=sharing"",""กระบี่!J354"")+IMPORTRANGE(""https://docs.google.com/spreadsheets/d/1GwtLaSlNZkLk7iDqcyZz22giiy40b_usZZBXYciEN1U/edit?usp=sharing"",""ชุ"&amp;"มพร!J354"")+IMPORTRANGE(""https://docs.google.com/spreadsheets/d/16pAz3pOhQEZBhvFNMa5KGgZS6iKWpsKX0pg6tQmwFpo/edit?usp=sharing"",""ตรัง!J354"")+IMPORTRANGE(""https://docs.google.com/spreadsheets/d/1Dj4jcHCTV9JXKCaMoheSXS52JE63kDKyG7bPXnFogHk/edit?usp=shar"&amp;"ing"",""นครศรีธรรมราช!J354"")+IMPORTRANGE(""https://docs.google.com/spreadsheets/d/1iodCdmuK2GR3jzUwk8tpccY2JHQQA-87DLOtJP-ooyU/edit?usp=sharing"",""นราธิวาส!J354"")+IMPORTRANGE(""https://docs.google.com/spreadsheets/d/1SDNX3JhDdYRuIOsj0Wh2M-Qa_eaXl0NbWmh"&amp;"AOTbfQAs/edit?usp=sharing"",""ปัตตานี!J354"")+IMPORTRANGE(""https://docs.google.com/spreadsheets/d/16JDLGguT8s5DsGCND1KcwHP_AWR_zDMTqLHPLJUKhaU/edit?usp=sharing"",""พังงา!J354"")+IMPORTRANGE(""https://docs.google.com/spreadsheets/d/17ht0gPKzzT3PObBL1XJkeR"&amp;"mntBXI7wGjpLV7QorqlTk/edit?usp=sharing"",""พัทลุง!J354"")+IMPORTRANGE(""https://docs.google.com/spreadsheets/d/1rd4qoM1q_hsgaolqNGfrim9gbsoLxQsda4-vOz5x_BM/edit?usp=sharing"",""ภูเก็ต!J354"")+IMPORTRANGE(""https://docs.google.com/spreadsheets/d/1woKwKjgoL"&amp;"ssDvPcPeVyezB5izizAn4X1JDrys69n6xI/edit?usp=sharing"",""ยะลา!J354"")+IMPORTRANGE(""https://docs.google.com/spreadsheets/d/1qfrKjzMhm2HJfxQ-qVlJlJQ25Hne1d0khsySbZyGtPA/edit?usp=sharing"",""ระนอง!J354"")+IMPORTRANGE(""https://docs.google.com/spreadsheets/d/"&amp;"1IbSCnFOKpZsnFogBHJnL_isstZVaOMnFiIN0fGTPZZw/edit?usp=sharing"",""สงขลา!J354"")+IMPORTRANGE(""https://docs.google.com/spreadsheets/d/1q9nWasZJ-K8bFGvbE9n0qSRuKGA4Toe3Y89cKCiVtCU/edit?usp=sharing"",""สตูล!J354"")+IMPORTRANGE(""https://docs.google.com/sprea"&amp;"dsheets/d/18T20gbkS_WBjdscyTOV05cvq_JqvqQ17C81mpxf7Ncs/edit?usp=sharing"",""สุราษฎร์ธานี!J354"")"),8961)</f>
        <v>8961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323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41"/>
      <c r="C356" s="130" t="s">
        <v>18</v>
      </c>
      <c r="D356" s="131" t="s">
        <v>19</v>
      </c>
      <c r="E356" s="41"/>
      <c r="F356" s="41"/>
      <c r="G356" s="43"/>
      <c r="H356" s="132" t="s">
        <v>14</v>
      </c>
      <c r="I356" s="45"/>
      <c r="J356" s="45"/>
      <c r="K356" s="46"/>
      <c r="L356" s="133">
        <f t="shared" ref="L356:N356" ca="1" si="267">L357+L358</f>
        <v>9088150</v>
      </c>
      <c r="M356" s="133">
        <f t="shared" ca="1" si="267"/>
        <v>10495155</v>
      </c>
      <c r="N356" s="133">
        <f t="shared" ca="1" si="267"/>
        <v>9108366.9199999999</v>
      </c>
      <c r="O356" s="133">
        <f t="shared" ref="O356:O364" ca="1" si="268">IF(L356&gt;0,N356*100/L356,0)</f>
        <v>100.22245363467812</v>
      </c>
      <c r="P356" s="133">
        <f t="shared" ref="P356:P364" ca="1" si="269">IF(M356&gt;0,N356*100/M356,0)</f>
        <v>86.786397342392746</v>
      </c>
      <c r="Q356" s="133">
        <f t="shared" ref="Q356:S356" ca="1" si="270">Q357+Q358</f>
        <v>0</v>
      </c>
      <c r="R356" s="133">
        <f t="shared" ca="1" si="270"/>
        <v>0</v>
      </c>
      <c r="S356" s="133">
        <f t="shared" ca="1" si="270"/>
        <v>0</v>
      </c>
      <c r="T356" s="133">
        <f t="shared" ref="T356:T364" ca="1" si="271">IF(Q356&gt;0,S356*100/Q356,0)</f>
        <v>0</v>
      </c>
      <c r="U356" s="133">
        <f t="shared" ref="U356:U364" ca="1" si="272">IF(R356&gt;0,S356*100/R356,0)</f>
        <v>0</v>
      </c>
    </row>
    <row r="357" spans="1:21" ht="18.75" hidden="1" x14ac:dyDescent="0.25">
      <c r="A357" s="129"/>
      <c r="B357" s="41"/>
      <c r="C357" s="41"/>
      <c r="D357" s="41"/>
      <c r="E357" s="48" t="s">
        <v>20</v>
      </c>
      <c r="F357" s="41"/>
      <c r="G357" s="43"/>
      <c r="H357" s="134" t="s">
        <v>14</v>
      </c>
      <c r="I357" s="45"/>
      <c r="J357" s="45"/>
      <c r="K357" s="46"/>
      <c r="L357" s="47">
        <f t="shared" ref="L357:N357" ca="1" si="273">L360+L363</f>
        <v>0</v>
      </c>
      <c r="M357" s="47">
        <f t="shared" ca="1" si="273"/>
        <v>0</v>
      </c>
      <c r="N357" s="47">
        <f t="shared" ca="1" si="273"/>
        <v>0</v>
      </c>
      <c r="O357" s="47">
        <f t="shared" ca="1" si="268"/>
        <v>0</v>
      </c>
      <c r="P357" s="47">
        <f t="shared" ca="1" si="269"/>
        <v>0</v>
      </c>
      <c r="Q357" s="47">
        <f t="shared" ref="Q357:S357" ca="1" si="274">Q360+Q363</f>
        <v>0</v>
      </c>
      <c r="R357" s="47">
        <f t="shared" ca="1" si="274"/>
        <v>0</v>
      </c>
      <c r="S357" s="47">
        <f t="shared" ca="1" si="274"/>
        <v>0</v>
      </c>
      <c r="T357" s="49">
        <f t="shared" ca="1" si="271"/>
        <v>0</v>
      </c>
      <c r="U357" s="49">
        <f t="shared" ca="1" si="272"/>
        <v>0</v>
      </c>
    </row>
    <row r="358" spans="1:21" ht="18.75" hidden="1" x14ac:dyDescent="0.25">
      <c r="A358" s="129"/>
      <c r="B358" s="41"/>
      <c r="C358" s="41"/>
      <c r="D358" s="41"/>
      <c r="E358" s="48" t="s">
        <v>21</v>
      </c>
      <c r="F358" s="41"/>
      <c r="G358" s="43"/>
      <c r="H358" s="134" t="s">
        <v>14</v>
      </c>
      <c r="I358" s="45"/>
      <c r="J358" s="45"/>
      <c r="K358" s="46"/>
      <c r="L358" s="47">
        <f t="shared" ref="L358:N358" ca="1" si="275">L361+L364</f>
        <v>9088150</v>
      </c>
      <c r="M358" s="47">
        <f t="shared" ca="1" si="275"/>
        <v>10495155</v>
      </c>
      <c r="N358" s="47">
        <f t="shared" ca="1" si="275"/>
        <v>9108366.9199999999</v>
      </c>
      <c r="O358" s="47">
        <f t="shared" ca="1" si="268"/>
        <v>100.22245363467812</v>
      </c>
      <c r="P358" s="47">
        <f t="shared" ca="1" si="269"/>
        <v>86.786397342392746</v>
      </c>
      <c r="Q358" s="47">
        <f t="shared" ref="Q358:S358" ca="1" si="276">Q361+Q364</f>
        <v>0</v>
      </c>
      <c r="R358" s="47">
        <f t="shared" ca="1" si="276"/>
        <v>0</v>
      </c>
      <c r="S358" s="47">
        <f t="shared" ca="1" si="276"/>
        <v>0</v>
      </c>
      <c r="T358" s="47">
        <f t="shared" ca="1" si="271"/>
        <v>0</v>
      </c>
      <c r="U358" s="47">
        <f t="shared" ca="1" si="272"/>
        <v>0</v>
      </c>
    </row>
    <row r="359" spans="1:21" ht="18.75" x14ac:dyDescent="0.25">
      <c r="A359" s="129"/>
      <c r="B359" s="41"/>
      <c r="C359" s="41"/>
      <c r="D359" s="42" t="s">
        <v>22</v>
      </c>
      <c r="E359" s="41"/>
      <c r="F359" s="41"/>
      <c r="G359" s="43"/>
      <c r="H359" s="135" t="s">
        <v>14</v>
      </c>
      <c r="I359" s="136"/>
      <c r="J359" s="136"/>
      <c r="K359" s="137"/>
      <c r="L359" s="47">
        <f t="shared" ref="L359:N359" ca="1" si="277">L360+L361</f>
        <v>9088150</v>
      </c>
      <c r="M359" s="47">
        <f t="shared" ca="1" si="277"/>
        <v>10495155</v>
      </c>
      <c r="N359" s="47">
        <f t="shared" ca="1" si="277"/>
        <v>9108366.9199999999</v>
      </c>
      <c r="O359" s="47">
        <f t="shared" ca="1" si="268"/>
        <v>100.22245363467812</v>
      </c>
      <c r="P359" s="47">
        <f t="shared" ca="1" si="269"/>
        <v>86.786397342392746</v>
      </c>
      <c r="Q359" s="47">
        <f t="shared" ref="Q359:S359" ca="1" si="278">Q360+Q361</f>
        <v>0</v>
      </c>
      <c r="R359" s="47">
        <f t="shared" ca="1" si="278"/>
        <v>0</v>
      </c>
      <c r="S359" s="47">
        <f t="shared" ca="1" si="278"/>
        <v>0</v>
      </c>
      <c r="T359" s="47">
        <f t="shared" ca="1" si="271"/>
        <v>0</v>
      </c>
      <c r="U359" s="47">
        <f t="shared" ca="1" si="272"/>
        <v>0</v>
      </c>
    </row>
    <row r="360" spans="1:21" ht="18.75" hidden="1" x14ac:dyDescent="0.25">
      <c r="A360" s="129"/>
      <c r="B360" s="41"/>
      <c r="C360" s="41"/>
      <c r="D360" s="41"/>
      <c r="E360" s="48" t="s">
        <v>36</v>
      </c>
      <c r="F360" s="41"/>
      <c r="G360" s="43"/>
      <c r="H360" s="135" t="s">
        <v>14</v>
      </c>
      <c r="I360" s="136"/>
      <c r="J360" s="136"/>
      <c r="K360" s="137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8"/>
        <v>0</v>
      </c>
      <c r="P360" s="47">
        <f t="shared" ca="1" si="269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1"/>
        <v>0</v>
      </c>
      <c r="U360" s="49">
        <f t="shared" ca="1" si="272"/>
        <v>0</v>
      </c>
    </row>
    <row r="361" spans="1:21" ht="18.75" hidden="1" x14ac:dyDescent="0.25">
      <c r="A361" s="129"/>
      <c r="B361" s="41"/>
      <c r="C361" s="41"/>
      <c r="D361" s="41"/>
      <c r="E361" s="48" t="s">
        <v>37</v>
      </c>
      <c r="F361" s="41"/>
      <c r="G361" s="43"/>
      <c r="H361" s="135" t="s">
        <v>14</v>
      </c>
      <c r="I361" s="136"/>
      <c r="J361" s="136"/>
      <c r="K361" s="137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10495155)</f>
        <v>10495155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9108366.92)</f>
        <v>9108366.9199999999</v>
      </c>
      <c r="O361" s="47">
        <f t="shared" ca="1" si="268"/>
        <v>100.22245363467812</v>
      </c>
      <c r="P361" s="47">
        <f t="shared" ca="1" si="269"/>
        <v>86.786397342392746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1"/>
        <v>0</v>
      </c>
      <c r="U361" s="47">
        <f t="shared" ca="1" si="272"/>
        <v>0</v>
      </c>
    </row>
    <row r="362" spans="1:21" ht="18.75" x14ac:dyDescent="0.25">
      <c r="A362" s="129"/>
      <c r="B362" s="41"/>
      <c r="C362" s="41"/>
      <c r="D362" s="42" t="s">
        <v>23</v>
      </c>
      <c r="E362" s="41"/>
      <c r="F362" s="41"/>
      <c r="G362" s="43"/>
      <c r="H362" s="138" t="s">
        <v>14</v>
      </c>
      <c r="I362" s="136"/>
      <c r="J362" s="136"/>
      <c r="K362" s="137"/>
      <c r="L362" s="47">
        <f t="shared" ref="L362:N362" ca="1" si="279">L363+L364</f>
        <v>0</v>
      </c>
      <c r="M362" s="47">
        <f t="shared" ca="1" si="279"/>
        <v>0</v>
      </c>
      <c r="N362" s="47">
        <f t="shared" ca="1" si="279"/>
        <v>0</v>
      </c>
      <c r="O362" s="47">
        <f t="shared" ca="1" si="268"/>
        <v>0</v>
      </c>
      <c r="P362" s="47">
        <f t="shared" ca="1" si="269"/>
        <v>0</v>
      </c>
      <c r="Q362" s="47">
        <f t="shared" ref="Q362:S362" ca="1" si="280">Q363+Q364</f>
        <v>0</v>
      </c>
      <c r="R362" s="47">
        <f t="shared" ca="1" si="280"/>
        <v>0</v>
      </c>
      <c r="S362" s="47">
        <f t="shared" ca="1" si="280"/>
        <v>0</v>
      </c>
      <c r="T362" s="47">
        <f t="shared" ca="1" si="271"/>
        <v>0</v>
      </c>
      <c r="U362" s="47">
        <f t="shared" ca="1" si="272"/>
        <v>0</v>
      </c>
    </row>
    <row r="363" spans="1:21" ht="18.75" hidden="1" x14ac:dyDescent="0.25">
      <c r="A363" s="129"/>
      <c r="B363" s="41"/>
      <c r="C363" s="41"/>
      <c r="D363" s="41"/>
      <c r="E363" s="48" t="s">
        <v>20</v>
      </c>
      <c r="F363" s="41"/>
      <c r="G363" s="43"/>
      <c r="H363" s="135" t="s">
        <v>14</v>
      </c>
      <c r="I363" s="136"/>
      <c r="J363" s="136"/>
      <c r="K363" s="137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8"/>
        <v>0</v>
      </c>
      <c r="P363" s="47">
        <f t="shared" ca="1" si="269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1"/>
        <v>0</v>
      </c>
      <c r="U363" s="49">
        <f t="shared" ca="1" si="272"/>
        <v>0</v>
      </c>
    </row>
    <row r="364" spans="1:21" ht="18.75" hidden="1" x14ac:dyDescent="0.25">
      <c r="A364" s="129"/>
      <c r="B364" s="41"/>
      <c r="C364" s="41"/>
      <c r="D364" s="41"/>
      <c r="E364" s="48" t="s">
        <v>21</v>
      </c>
      <c r="F364" s="41"/>
      <c r="G364" s="43"/>
      <c r="H364" s="138" t="s">
        <v>14</v>
      </c>
      <c r="I364" s="136"/>
      <c r="J364" s="136"/>
      <c r="K364" s="137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8"/>
        <v>0</v>
      </c>
      <c r="P364" s="47">
        <f t="shared" ca="1" si="269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1"/>
        <v>0</v>
      </c>
      <c r="U364" s="47">
        <f t="shared" ca="1" si="272"/>
        <v>0</v>
      </c>
    </row>
    <row r="365" spans="1:21" ht="19.5" x14ac:dyDescent="0.3">
      <c r="A365" s="230"/>
      <c r="B365" s="231"/>
      <c r="C365" s="233"/>
      <c r="D365" s="330" t="s">
        <v>153</v>
      </c>
      <c r="E365" s="233"/>
      <c r="F365" s="233"/>
      <c r="G365" s="234"/>
      <c r="H365" s="340" t="s">
        <v>35</v>
      </c>
      <c r="I365" s="236">
        <f t="shared" ref="I365:J365" ca="1" si="281">I371</f>
        <v>3951</v>
      </c>
      <c r="J365" s="236">
        <f t="shared" ca="1" si="281"/>
        <v>4302</v>
      </c>
      <c r="K365" s="237">
        <f ca="1">IF(I365&gt;0,J365*100/I365,0)</f>
        <v>108.88382687927107</v>
      </c>
      <c r="L365" s="238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130" t="s">
        <v>18</v>
      </c>
      <c r="D366" s="141" t="s">
        <v>38</v>
      </c>
      <c r="E366" s="142"/>
      <c r="F366" s="142"/>
      <c r="G366" s="143"/>
      <c r="H366" s="144"/>
      <c r="I366" s="45"/>
      <c r="J366" s="45"/>
      <c r="K366" s="46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46"/>
      <c r="C367" s="140"/>
      <c r="D367" s="146"/>
      <c r="E367" s="145" t="s">
        <v>154</v>
      </c>
      <c r="F367" s="146"/>
      <c r="G367" s="144"/>
      <c r="H367" s="155" t="s">
        <v>35</v>
      </c>
      <c r="I367" s="153">
        <v>0</v>
      </c>
      <c r="J367" s="153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2405)</f>
        <v>2405</v>
      </c>
      <c r="K367" s="47">
        <f t="shared" ref="K367:K372" si="282">IF(I367&gt;0,J367*100/I367,0)</f>
        <v>0</v>
      </c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46"/>
      <c r="C368" s="140"/>
      <c r="D368" s="146"/>
      <c r="E368" s="146"/>
      <c r="F368" s="146"/>
      <c r="G368" s="144"/>
      <c r="H368" s="155" t="s">
        <v>46</v>
      </c>
      <c r="I368" s="153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13105)</f>
        <v>13105</v>
      </c>
      <c r="J368" s="153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20780.1)</f>
        <v>20780.099999999999</v>
      </c>
      <c r="K368" s="47">
        <f t="shared" ca="1" si="282"/>
        <v>158.56619610835557</v>
      </c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46"/>
      <c r="C369" s="140"/>
      <c r="D369" s="146"/>
      <c r="E369" s="145" t="s">
        <v>155</v>
      </c>
      <c r="F369" s="146"/>
      <c r="G369" s="144"/>
      <c r="H369" s="151" t="s">
        <v>35</v>
      </c>
      <c r="I369" s="153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3951)</f>
        <v>3951</v>
      </c>
      <c r="J369" s="153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5105)</f>
        <v>5105</v>
      </c>
      <c r="K369" s="47">
        <f t="shared" ca="1" si="282"/>
        <v>129.20779549481145</v>
      </c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46"/>
      <c r="C370" s="140"/>
      <c r="D370" s="146"/>
      <c r="E370" s="146"/>
      <c r="F370" s="146"/>
      <c r="G370" s="144"/>
      <c r="H370" s="151" t="s">
        <v>46</v>
      </c>
      <c r="I370" s="153">
        <v>0</v>
      </c>
      <c r="J370" s="153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58296.06)</f>
        <v>58296.06</v>
      </c>
      <c r="K370" s="47">
        <f t="shared" si="282"/>
        <v>0</v>
      </c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46"/>
      <c r="C371" s="140"/>
      <c r="D371" s="146"/>
      <c r="E371" s="341" t="s">
        <v>156</v>
      </c>
      <c r="F371" s="146"/>
      <c r="G371" s="144"/>
      <c r="H371" s="151" t="s">
        <v>35</v>
      </c>
      <c r="I371" s="153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3951)</f>
        <v>3951</v>
      </c>
      <c r="J371" s="153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4302)</f>
        <v>4302</v>
      </c>
      <c r="K371" s="47">
        <f t="shared" ca="1" si="282"/>
        <v>108.88382687927107</v>
      </c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46"/>
      <c r="C372" s="140"/>
      <c r="D372" s="146"/>
      <c r="E372" s="146"/>
      <c r="F372" s="146"/>
      <c r="G372" s="144"/>
      <c r="H372" s="151" t="s">
        <v>46</v>
      </c>
      <c r="I372" s="153">
        <v>0</v>
      </c>
      <c r="J372" s="153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51105.49)</f>
        <v>51105.49</v>
      </c>
      <c r="K372" s="47">
        <f t="shared" si="282"/>
        <v>0</v>
      </c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24"/>
      <c r="B374" s="343" t="s">
        <v>157</v>
      </c>
      <c r="C374" s="325"/>
      <c r="D374" s="326"/>
      <c r="E374" s="318"/>
      <c r="F374" s="318"/>
      <c r="G374" s="319"/>
      <c r="H374" s="344" t="s">
        <v>46</v>
      </c>
      <c r="I374" s="321">
        <f ca="1">I385</f>
        <v>0</v>
      </c>
      <c r="J374" s="321">
        <f ca="1">J386+J388</f>
        <v>4023</v>
      </c>
      <c r="K374" s="322">
        <f ca="1">IF(I374&gt;0,J374*100/I374,0)</f>
        <v>0</v>
      </c>
      <c r="L374" s="323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163" t="s">
        <v>18</v>
      </c>
      <c r="D375" s="345" t="s">
        <v>19</v>
      </c>
      <c r="E375" s="160"/>
      <c r="F375" s="160"/>
      <c r="G375" s="194"/>
      <c r="H375" s="132" t="s">
        <v>14</v>
      </c>
      <c r="I375" s="45"/>
      <c r="J375" s="45"/>
      <c r="K375" s="46"/>
      <c r="L375" s="133">
        <f t="shared" ref="L375:N375" ca="1" si="283">L376+L377</f>
        <v>220800</v>
      </c>
      <c r="M375" s="133">
        <f t="shared" ca="1" si="283"/>
        <v>220800</v>
      </c>
      <c r="N375" s="133">
        <f t="shared" ca="1" si="283"/>
        <v>161261</v>
      </c>
      <c r="O375" s="133">
        <f t="shared" ref="O375:O383" ca="1" si="284">IF(L375&gt;0,N375*100/L375,0)</f>
        <v>73.034873188405797</v>
      </c>
      <c r="P375" s="133">
        <f t="shared" ref="P375:P383" ca="1" si="285">IF(M375&gt;0,N375*100/M375,0)</f>
        <v>73.034873188405797</v>
      </c>
      <c r="Q375" s="133">
        <f t="shared" ref="Q375:S375" ca="1" si="286">Q376+Q377</f>
        <v>618750</v>
      </c>
      <c r="R375" s="133">
        <f t="shared" ca="1" si="286"/>
        <v>484275</v>
      </c>
      <c r="S375" s="133">
        <f t="shared" ca="1" si="286"/>
        <v>318824.3</v>
      </c>
      <c r="T375" s="133">
        <f t="shared" ref="T375:T383" ca="1" si="287">IF(Q375&gt;0,S375*100/Q375,0)</f>
        <v>51.527159595959596</v>
      </c>
      <c r="U375" s="133">
        <f t="shared" ref="U375:U383" ca="1" si="288">IF(R375&gt;0,S375*100/R375,0)</f>
        <v>65.835382788704763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41"/>
      <c r="G376" s="43"/>
      <c r="H376" s="159" t="s">
        <v>14</v>
      </c>
      <c r="I376" s="45"/>
      <c r="J376" s="45"/>
      <c r="K376" s="46"/>
      <c r="L376" s="49">
        <f t="shared" ref="L376:N376" ca="1" si="289">L379+L382</f>
        <v>0</v>
      </c>
      <c r="M376" s="49">
        <f t="shared" ca="1" si="289"/>
        <v>0</v>
      </c>
      <c r="N376" s="49">
        <f t="shared" ca="1" si="289"/>
        <v>0</v>
      </c>
      <c r="O376" s="49">
        <f t="shared" ca="1" si="284"/>
        <v>0</v>
      </c>
      <c r="P376" s="49">
        <f t="shared" ca="1" si="285"/>
        <v>0</v>
      </c>
      <c r="Q376" s="49">
        <f t="shared" ref="Q376:S376" ca="1" si="290">Q379+Q382</f>
        <v>0</v>
      </c>
      <c r="R376" s="49">
        <f t="shared" ca="1" si="290"/>
        <v>0</v>
      </c>
      <c r="S376" s="49">
        <f t="shared" ca="1" si="290"/>
        <v>0</v>
      </c>
      <c r="T376" s="49">
        <f t="shared" ca="1" si="287"/>
        <v>0</v>
      </c>
      <c r="U376" s="49">
        <f t="shared" ca="1" si="288"/>
        <v>0</v>
      </c>
    </row>
    <row r="377" spans="1:21" ht="18.75" hidden="1" x14ac:dyDescent="0.25">
      <c r="A377" s="129"/>
      <c r="B377" s="160"/>
      <c r="C377" s="160"/>
      <c r="D377" s="160"/>
      <c r="E377" s="48" t="s">
        <v>21</v>
      </c>
      <c r="F377" s="41"/>
      <c r="G377" s="43"/>
      <c r="H377" s="134" t="s">
        <v>14</v>
      </c>
      <c r="I377" s="45"/>
      <c r="J377" s="45"/>
      <c r="K377" s="46"/>
      <c r="L377" s="47">
        <f t="shared" ref="L377:N377" ca="1" si="291">L380+L383</f>
        <v>220800</v>
      </c>
      <c r="M377" s="47">
        <f t="shared" ca="1" si="291"/>
        <v>220800</v>
      </c>
      <c r="N377" s="47">
        <f t="shared" ca="1" si="291"/>
        <v>161261</v>
      </c>
      <c r="O377" s="47">
        <f t="shared" ca="1" si="284"/>
        <v>73.034873188405797</v>
      </c>
      <c r="P377" s="47">
        <f t="shared" ca="1" si="285"/>
        <v>73.034873188405797</v>
      </c>
      <c r="Q377" s="47">
        <f t="shared" ref="Q377:S377" ca="1" si="292">Q380+Q383</f>
        <v>618750</v>
      </c>
      <c r="R377" s="47">
        <f t="shared" ca="1" si="292"/>
        <v>484275</v>
      </c>
      <c r="S377" s="47">
        <f t="shared" ca="1" si="292"/>
        <v>318824.3</v>
      </c>
      <c r="T377" s="47">
        <f t="shared" ca="1" si="287"/>
        <v>51.527159595959596</v>
      </c>
      <c r="U377" s="47">
        <f t="shared" ca="1" si="288"/>
        <v>65.835382788704763</v>
      </c>
    </row>
    <row r="378" spans="1:21" ht="18.75" x14ac:dyDescent="0.25">
      <c r="A378" s="129"/>
      <c r="B378" s="160"/>
      <c r="C378" s="160"/>
      <c r="D378" s="162" t="s">
        <v>22</v>
      </c>
      <c r="E378" s="41"/>
      <c r="F378" s="41"/>
      <c r="G378" s="43"/>
      <c r="H378" s="135" t="s">
        <v>14</v>
      </c>
      <c r="I378" s="136"/>
      <c r="J378" s="136"/>
      <c r="K378" s="137"/>
      <c r="L378" s="47">
        <f t="shared" ref="L378:N378" ca="1" si="293">L379+L380</f>
        <v>220800</v>
      </c>
      <c r="M378" s="47">
        <f t="shared" ca="1" si="293"/>
        <v>220800</v>
      </c>
      <c r="N378" s="47">
        <f t="shared" ca="1" si="293"/>
        <v>161261</v>
      </c>
      <c r="O378" s="47">
        <f t="shared" ca="1" si="284"/>
        <v>73.034873188405797</v>
      </c>
      <c r="P378" s="47">
        <f t="shared" ca="1" si="285"/>
        <v>73.034873188405797</v>
      </c>
      <c r="Q378" s="47">
        <f t="shared" ref="Q378:S378" ca="1" si="294">Q379+Q380</f>
        <v>618750</v>
      </c>
      <c r="R378" s="47">
        <f t="shared" ca="1" si="294"/>
        <v>484275</v>
      </c>
      <c r="S378" s="47">
        <f t="shared" ca="1" si="294"/>
        <v>318824.3</v>
      </c>
      <c r="T378" s="47">
        <f t="shared" ca="1" si="287"/>
        <v>51.527159595959596</v>
      </c>
      <c r="U378" s="47">
        <f t="shared" ca="1" si="288"/>
        <v>65.835382788704763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41"/>
      <c r="G379" s="43"/>
      <c r="H379" s="161" t="s">
        <v>14</v>
      </c>
      <c r="I379" s="136"/>
      <c r="J379" s="136"/>
      <c r="K379" s="137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4"/>
        <v>0</v>
      </c>
      <c r="P379" s="49">
        <f t="shared" ca="1" si="285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7"/>
        <v>0</v>
      </c>
      <c r="U379" s="49">
        <f t="shared" ca="1" si="288"/>
        <v>0</v>
      </c>
    </row>
    <row r="380" spans="1:21" ht="18.75" hidden="1" x14ac:dyDescent="0.25">
      <c r="A380" s="129"/>
      <c r="B380" s="160"/>
      <c r="C380" s="160"/>
      <c r="D380" s="160"/>
      <c r="E380" s="226" t="s">
        <v>37</v>
      </c>
      <c r="F380" s="160"/>
      <c r="G380" s="194"/>
      <c r="H380" s="135" t="s">
        <v>14</v>
      </c>
      <c r="I380" s="136"/>
      <c r="J380" s="136"/>
      <c r="K380" s="137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161261)</f>
        <v>161261</v>
      </c>
      <c r="O380" s="47">
        <f t="shared" ca="1" si="284"/>
        <v>73.034873188405797</v>
      </c>
      <c r="P380" s="47">
        <f t="shared" ca="1" si="285"/>
        <v>73.034873188405797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484275)</f>
        <v>484275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318824.3)</f>
        <v>318824.3</v>
      </c>
      <c r="T380" s="47">
        <f t="shared" ca="1" si="287"/>
        <v>51.527159595959596</v>
      </c>
      <c r="U380" s="47">
        <f t="shared" ca="1" si="288"/>
        <v>65.835382788704763</v>
      </c>
    </row>
    <row r="381" spans="1:21" ht="18.75" x14ac:dyDescent="0.25">
      <c r="A381" s="129"/>
      <c r="B381" s="160"/>
      <c r="C381" s="160"/>
      <c r="D381" s="162" t="s">
        <v>23</v>
      </c>
      <c r="E381" s="41"/>
      <c r="F381" s="41"/>
      <c r="G381" s="43"/>
      <c r="H381" s="138" t="s">
        <v>14</v>
      </c>
      <c r="I381" s="136"/>
      <c r="J381" s="136"/>
      <c r="K381" s="137"/>
      <c r="L381" s="47">
        <f t="shared" ref="L381:N381" ca="1" si="295">L382+L383</f>
        <v>0</v>
      </c>
      <c r="M381" s="47">
        <f t="shared" ca="1" si="295"/>
        <v>0</v>
      </c>
      <c r="N381" s="47">
        <f t="shared" ca="1" si="295"/>
        <v>0</v>
      </c>
      <c r="O381" s="47">
        <f t="shared" ca="1" si="284"/>
        <v>0</v>
      </c>
      <c r="P381" s="47">
        <f t="shared" ca="1" si="285"/>
        <v>0</v>
      </c>
      <c r="Q381" s="47">
        <f t="shared" ref="Q381:S381" ca="1" si="296">Q382+Q383</f>
        <v>0</v>
      </c>
      <c r="R381" s="47">
        <f t="shared" ca="1" si="296"/>
        <v>0</v>
      </c>
      <c r="S381" s="47">
        <f t="shared" ca="1" si="296"/>
        <v>0</v>
      </c>
      <c r="T381" s="47">
        <f t="shared" ca="1" si="287"/>
        <v>0</v>
      </c>
      <c r="U381" s="47">
        <f t="shared" ca="1" si="288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41"/>
      <c r="G382" s="43"/>
      <c r="H382" s="161" t="s">
        <v>14</v>
      </c>
      <c r="I382" s="136"/>
      <c r="J382" s="136"/>
      <c r="K382" s="137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4"/>
        <v>0</v>
      </c>
      <c r="P382" s="49">
        <f t="shared" ca="1" si="285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7"/>
        <v>0</v>
      </c>
      <c r="U382" s="49">
        <f t="shared" ca="1" si="288"/>
        <v>0</v>
      </c>
    </row>
    <row r="383" spans="1:21" ht="18.75" hidden="1" x14ac:dyDescent="0.25">
      <c r="A383" s="129"/>
      <c r="B383" s="160"/>
      <c r="C383" s="160"/>
      <c r="D383" s="160"/>
      <c r="E383" s="48" t="s">
        <v>21</v>
      </c>
      <c r="F383" s="41"/>
      <c r="G383" s="43"/>
      <c r="H383" s="138" t="s">
        <v>14</v>
      </c>
      <c r="I383" s="136"/>
      <c r="J383" s="136"/>
      <c r="K383" s="137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4"/>
        <v>0</v>
      </c>
      <c r="P383" s="47">
        <f t="shared" ca="1" si="285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7"/>
        <v>0</v>
      </c>
      <c r="U383" s="47">
        <f t="shared" ca="1" si="288"/>
        <v>0</v>
      </c>
    </row>
    <row r="384" spans="1:21" ht="19.5" x14ac:dyDescent="0.3">
      <c r="A384" s="139"/>
      <c r="B384" s="140"/>
      <c r="C384" s="163" t="s">
        <v>18</v>
      </c>
      <c r="D384" s="346" t="s">
        <v>38</v>
      </c>
      <c r="E384" s="142"/>
      <c r="F384" s="142"/>
      <c r="G384" s="143"/>
      <c r="H384" s="192"/>
      <c r="I384" s="136"/>
      <c r="J384" s="45"/>
      <c r="K384" s="46"/>
      <c r="L384" s="46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48" t="s">
        <v>158</v>
      </c>
      <c r="F385" s="41"/>
      <c r="G385" s="43"/>
      <c r="H385" s="134" t="s">
        <v>34</v>
      </c>
      <c r="I385" s="153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3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465)</f>
        <v>465</v>
      </c>
      <c r="K385" s="47">
        <f t="shared" ref="K385:K388" ca="1" si="297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60"/>
      <c r="B386" s="160"/>
      <c r="C386" s="160"/>
      <c r="D386" s="160"/>
      <c r="E386" s="160"/>
      <c r="F386" s="160"/>
      <c r="G386" s="194"/>
      <c r="H386" s="134" t="s">
        <v>46</v>
      </c>
      <c r="I386" s="153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7750)</f>
        <v>7750</v>
      </c>
      <c r="J386" s="153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4023)</f>
        <v>4023</v>
      </c>
      <c r="K386" s="47">
        <f t="shared" ca="1" si="297"/>
        <v>51.909677419354836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47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51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352">
        <f t="shared" ca="1" si="297"/>
        <v>0</v>
      </c>
      <c r="L387" s="353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347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51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352">
        <f t="shared" ca="1" si="297"/>
        <v>0</v>
      </c>
      <c r="L388" s="353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1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35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357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58">
        <f t="shared" ref="I391:J391" si="298">I402</f>
        <v>0</v>
      </c>
      <c r="J391" s="358">
        <f t="shared" si="298"/>
        <v>0</v>
      </c>
      <c r="K391" s="322">
        <f>IF(I391&gt;0,J391*100/I391,0)</f>
        <v>0</v>
      </c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163" t="s">
        <v>18</v>
      </c>
      <c r="D392" s="345" t="s">
        <v>19</v>
      </c>
      <c r="E392" s="41"/>
      <c r="F392" s="41"/>
      <c r="G392" s="43"/>
      <c r="H392" s="132" t="s">
        <v>14</v>
      </c>
      <c r="I392" s="45"/>
      <c r="J392" s="45"/>
      <c r="K392" s="46"/>
      <c r="L392" s="133">
        <f t="shared" ref="L392:N392" ca="1" si="299">L393+L394</f>
        <v>0</v>
      </c>
      <c r="M392" s="133">
        <f t="shared" ca="1" si="299"/>
        <v>0</v>
      </c>
      <c r="N392" s="133">
        <f t="shared" ca="1" si="299"/>
        <v>0</v>
      </c>
      <c r="O392" s="133">
        <f t="shared" ref="O392:O400" ca="1" si="300">IF(L392&gt;0,N392*100/L392,0)</f>
        <v>0</v>
      </c>
      <c r="P392" s="133">
        <f t="shared" ref="P392:P400" ca="1" si="301">IF(M392&gt;0,N392*100/M392,0)</f>
        <v>0</v>
      </c>
      <c r="Q392" s="133">
        <f t="shared" ref="Q392:S392" ca="1" si="302">Q393+Q394</f>
        <v>0</v>
      </c>
      <c r="R392" s="133">
        <f t="shared" ca="1" si="302"/>
        <v>0</v>
      </c>
      <c r="S392" s="133">
        <f t="shared" ca="1" si="302"/>
        <v>0</v>
      </c>
      <c r="T392" s="133">
        <f t="shared" ref="T392:T400" ca="1" si="303">IF(Q392&gt;0,S392*100/Q392,0)</f>
        <v>0</v>
      </c>
      <c r="U392" s="133">
        <f t="shared" ref="U392:U400" ca="1" si="30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41"/>
      <c r="G393" s="43"/>
      <c r="H393" s="159" t="s">
        <v>14</v>
      </c>
      <c r="I393" s="45"/>
      <c r="J393" s="45"/>
      <c r="K393" s="46"/>
      <c r="L393" s="49">
        <f t="shared" ref="L393:N393" ca="1" si="305">L396+L399</f>
        <v>0</v>
      </c>
      <c r="M393" s="49">
        <f t="shared" ca="1" si="305"/>
        <v>0</v>
      </c>
      <c r="N393" s="49">
        <f t="shared" ca="1" si="305"/>
        <v>0</v>
      </c>
      <c r="O393" s="49">
        <f t="shared" ca="1" si="300"/>
        <v>0</v>
      </c>
      <c r="P393" s="49">
        <f t="shared" ca="1" si="301"/>
        <v>0</v>
      </c>
      <c r="Q393" s="49">
        <f t="shared" ref="Q393:S393" ca="1" si="306">Q396+Q399</f>
        <v>0</v>
      </c>
      <c r="R393" s="49">
        <f t="shared" ca="1" si="306"/>
        <v>0</v>
      </c>
      <c r="S393" s="49">
        <f t="shared" ca="1" si="306"/>
        <v>0</v>
      </c>
      <c r="T393" s="49">
        <f t="shared" ca="1" si="303"/>
        <v>0</v>
      </c>
      <c r="U393" s="49">
        <f t="shared" ca="1" si="304"/>
        <v>0</v>
      </c>
    </row>
    <row r="394" spans="1:21" ht="18.75" hidden="1" x14ac:dyDescent="0.25">
      <c r="A394" s="129"/>
      <c r="B394" s="160"/>
      <c r="C394" s="160"/>
      <c r="D394" s="160"/>
      <c r="E394" s="48" t="s">
        <v>21</v>
      </c>
      <c r="F394" s="41"/>
      <c r="G394" s="43"/>
      <c r="H394" s="134" t="s">
        <v>14</v>
      </c>
      <c r="I394" s="45"/>
      <c r="J394" s="45"/>
      <c r="K394" s="46"/>
      <c r="L394" s="47">
        <f t="shared" ref="L394:N394" ca="1" si="307">L397+L400</f>
        <v>0</v>
      </c>
      <c r="M394" s="47">
        <f t="shared" ca="1" si="307"/>
        <v>0</v>
      </c>
      <c r="N394" s="47">
        <f t="shared" ca="1" si="307"/>
        <v>0</v>
      </c>
      <c r="O394" s="47">
        <f t="shared" ca="1" si="300"/>
        <v>0</v>
      </c>
      <c r="P394" s="47">
        <f t="shared" ca="1" si="301"/>
        <v>0</v>
      </c>
      <c r="Q394" s="47">
        <f t="shared" ref="Q394:S394" ca="1" si="308">Q397+Q400</f>
        <v>0</v>
      </c>
      <c r="R394" s="47">
        <f t="shared" ca="1" si="308"/>
        <v>0</v>
      </c>
      <c r="S394" s="47">
        <f t="shared" ca="1" si="308"/>
        <v>0</v>
      </c>
      <c r="T394" s="47">
        <f t="shared" ca="1" si="303"/>
        <v>0</v>
      </c>
      <c r="U394" s="47">
        <f t="shared" ca="1" si="304"/>
        <v>0</v>
      </c>
    </row>
    <row r="395" spans="1:21" ht="18.75" hidden="1" x14ac:dyDescent="0.25">
      <c r="A395" s="129"/>
      <c r="B395" s="160"/>
      <c r="C395" s="160"/>
      <c r="D395" s="162" t="s">
        <v>22</v>
      </c>
      <c r="E395" s="41"/>
      <c r="F395" s="41"/>
      <c r="G395" s="43"/>
      <c r="H395" s="135" t="s">
        <v>14</v>
      </c>
      <c r="I395" s="136"/>
      <c r="J395" s="136"/>
      <c r="K395" s="137"/>
      <c r="L395" s="47">
        <f t="shared" ref="L395:N395" ca="1" si="309">L396+L397</f>
        <v>0</v>
      </c>
      <c r="M395" s="47">
        <f t="shared" ca="1" si="309"/>
        <v>0</v>
      </c>
      <c r="N395" s="47">
        <f t="shared" ca="1" si="309"/>
        <v>0</v>
      </c>
      <c r="O395" s="47">
        <f t="shared" ca="1" si="300"/>
        <v>0</v>
      </c>
      <c r="P395" s="47">
        <f t="shared" ca="1" si="301"/>
        <v>0</v>
      </c>
      <c r="Q395" s="47">
        <f t="shared" ref="Q395:S395" ca="1" si="310">Q396+Q397</f>
        <v>0</v>
      </c>
      <c r="R395" s="47">
        <f t="shared" ca="1" si="310"/>
        <v>0</v>
      </c>
      <c r="S395" s="47">
        <f t="shared" ca="1" si="310"/>
        <v>0</v>
      </c>
      <c r="T395" s="47">
        <f t="shared" ca="1" si="303"/>
        <v>0</v>
      </c>
      <c r="U395" s="47">
        <f t="shared" ca="1" si="30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41"/>
      <c r="G396" s="43"/>
      <c r="H396" s="161" t="s">
        <v>14</v>
      </c>
      <c r="I396" s="136"/>
      <c r="J396" s="136"/>
      <c r="K396" s="137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300"/>
        <v>0</v>
      </c>
      <c r="P396" s="49">
        <f t="shared" ca="1" si="301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3"/>
        <v>0</v>
      </c>
      <c r="U396" s="49">
        <f t="shared" ca="1" si="304"/>
        <v>0</v>
      </c>
    </row>
    <row r="397" spans="1:21" ht="18.75" hidden="1" x14ac:dyDescent="0.25">
      <c r="A397" s="129"/>
      <c r="B397" s="160"/>
      <c r="C397" s="160"/>
      <c r="D397" s="160"/>
      <c r="E397" s="226" t="s">
        <v>37</v>
      </c>
      <c r="F397" s="160"/>
      <c r="G397" s="194"/>
      <c r="H397" s="135" t="s">
        <v>14</v>
      </c>
      <c r="I397" s="136"/>
      <c r="J397" s="136"/>
      <c r="K397" s="137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300"/>
        <v>0</v>
      </c>
      <c r="P397" s="47">
        <f t="shared" ca="1" si="301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3"/>
        <v>0</v>
      </c>
      <c r="U397" s="47">
        <f t="shared" ca="1" si="304"/>
        <v>0</v>
      </c>
    </row>
    <row r="398" spans="1:21" ht="18.75" hidden="1" x14ac:dyDescent="0.25">
      <c r="A398" s="129"/>
      <c r="B398" s="160"/>
      <c r="C398" s="160"/>
      <c r="D398" s="162" t="s">
        <v>23</v>
      </c>
      <c r="E398" s="41"/>
      <c r="F398" s="41"/>
      <c r="G398" s="43"/>
      <c r="H398" s="138" t="s">
        <v>14</v>
      </c>
      <c r="I398" s="136"/>
      <c r="J398" s="136"/>
      <c r="K398" s="137"/>
      <c r="L398" s="47">
        <f t="shared" ref="L398:N398" ca="1" si="311">L399+L400</f>
        <v>0</v>
      </c>
      <c r="M398" s="47">
        <f t="shared" ca="1" si="311"/>
        <v>0</v>
      </c>
      <c r="N398" s="47">
        <f t="shared" ca="1" si="311"/>
        <v>0</v>
      </c>
      <c r="O398" s="47">
        <f t="shared" ca="1" si="300"/>
        <v>0</v>
      </c>
      <c r="P398" s="47">
        <f t="shared" ca="1" si="301"/>
        <v>0</v>
      </c>
      <c r="Q398" s="47">
        <f t="shared" ref="Q398:S398" ca="1" si="312">Q399+Q400</f>
        <v>0</v>
      </c>
      <c r="R398" s="47">
        <f t="shared" ca="1" si="312"/>
        <v>0</v>
      </c>
      <c r="S398" s="47">
        <f t="shared" ca="1" si="312"/>
        <v>0</v>
      </c>
      <c r="T398" s="47">
        <f t="shared" ca="1" si="303"/>
        <v>0</v>
      </c>
      <c r="U398" s="47">
        <f t="shared" ca="1" si="30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41"/>
      <c r="G399" s="43"/>
      <c r="H399" s="161" t="s">
        <v>14</v>
      </c>
      <c r="I399" s="136"/>
      <c r="J399" s="136"/>
      <c r="K399" s="137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300"/>
        <v>0</v>
      </c>
      <c r="P399" s="49">
        <f t="shared" ca="1" si="301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3"/>
        <v>0</v>
      </c>
      <c r="U399" s="49">
        <f t="shared" ca="1" si="304"/>
        <v>0</v>
      </c>
    </row>
    <row r="400" spans="1:21" ht="18.75" hidden="1" x14ac:dyDescent="0.25">
      <c r="A400" s="129"/>
      <c r="B400" s="160"/>
      <c r="C400" s="160"/>
      <c r="D400" s="160"/>
      <c r="E400" s="48" t="s">
        <v>21</v>
      </c>
      <c r="F400" s="41"/>
      <c r="G400" s="43"/>
      <c r="H400" s="138" t="s">
        <v>14</v>
      </c>
      <c r="I400" s="136"/>
      <c r="J400" s="136"/>
      <c r="K400" s="137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300"/>
        <v>0</v>
      </c>
      <c r="P400" s="47">
        <f t="shared" ca="1" si="301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3"/>
        <v>0</v>
      </c>
      <c r="U400" s="47">
        <f t="shared" ca="1" si="304"/>
        <v>0</v>
      </c>
    </row>
    <row r="401" spans="1:21" ht="19.5" hidden="1" x14ac:dyDescent="0.3">
      <c r="A401" s="139"/>
      <c r="B401" s="140"/>
      <c r="C401" s="163" t="s">
        <v>18</v>
      </c>
      <c r="D401" s="346" t="s">
        <v>38</v>
      </c>
      <c r="E401" s="142"/>
      <c r="F401" s="142"/>
      <c r="G401" s="143"/>
      <c r="H401" s="192"/>
      <c r="I401" s="136"/>
      <c r="J401" s="45"/>
      <c r="K401" s="46"/>
      <c r="L401" s="46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1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1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1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1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1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1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1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1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35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357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2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313">I423</f>
        <v>216167</v>
      </c>
      <c r="J412" s="321">
        <f t="shared" ca="1" si="313"/>
        <v>29592.959999999999</v>
      </c>
      <c r="K412" s="322">
        <f ca="1">IF(I412&gt;0,J412*100/I412,0)</f>
        <v>13.68986015441765</v>
      </c>
      <c r="L412" s="323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361" t="s">
        <v>18</v>
      </c>
      <c r="D413" s="563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133">
        <f t="shared" ref="L413:N413" ca="1" si="314">L414+L415</f>
        <v>2053310</v>
      </c>
      <c r="M413" s="133">
        <f t="shared" ca="1" si="314"/>
        <v>3188983</v>
      </c>
      <c r="N413" s="133">
        <f t="shared" ca="1" si="314"/>
        <v>2671762.4500000002</v>
      </c>
      <c r="O413" s="133">
        <f t="shared" ref="O413:O421" ca="1" si="315">IF(L413&gt;0,N413*100/L413,0)</f>
        <v>130.11977977022468</v>
      </c>
      <c r="P413" s="133">
        <f t="shared" ref="P413:P421" ca="1" si="316">IF(M413&gt;0,N413*100/M413,0)</f>
        <v>83.781018901637296</v>
      </c>
      <c r="Q413" s="133">
        <f t="shared" ref="Q413:S413" ca="1" si="317">Q414+Q415</f>
        <v>347120</v>
      </c>
      <c r="R413" s="133">
        <f t="shared" ca="1" si="317"/>
        <v>331074.09999999998</v>
      </c>
      <c r="S413" s="133">
        <f t="shared" ca="1" si="317"/>
        <v>142707.1</v>
      </c>
      <c r="T413" s="133">
        <f t="shared" ref="T413:T421" ca="1" si="318">IF(Q413&gt;0,S413*100/Q413,0)</f>
        <v>41.111748098640241</v>
      </c>
      <c r="U413" s="133">
        <f t="shared" ref="U413:U421" ca="1" si="319">IF(R413&gt;0,S413*100/R413,0)</f>
        <v>43.104277864079371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49">
        <f t="shared" ref="L414:N414" ca="1" si="320">L417+L420</f>
        <v>0</v>
      </c>
      <c r="M414" s="49">
        <f t="shared" ca="1" si="320"/>
        <v>0</v>
      </c>
      <c r="N414" s="49">
        <f t="shared" ca="1" si="320"/>
        <v>0</v>
      </c>
      <c r="O414" s="49">
        <f t="shared" ca="1" si="315"/>
        <v>0</v>
      </c>
      <c r="P414" s="49">
        <f t="shared" ca="1" si="316"/>
        <v>0</v>
      </c>
      <c r="Q414" s="49">
        <f t="shared" ref="Q414:S414" ca="1" si="321">Q417+Q420</f>
        <v>0</v>
      </c>
      <c r="R414" s="49">
        <f t="shared" ca="1" si="321"/>
        <v>0</v>
      </c>
      <c r="S414" s="49">
        <f t="shared" ca="1" si="321"/>
        <v>0</v>
      </c>
      <c r="T414" s="49">
        <f t="shared" ca="1" si="318"/>
        <v>0</v>
      </c>
      <c r="U414" s="49">
        <f t="shared" ca="1" si="319"/>
        <v>0</v>
      </c>
    </row>
    <row r="415" spans="1:21" ht="18.75" hidden="1" x14ac:dyDescent="0.25">
      <c r="A415" s="129"/>
      <c r="B415" s="160"/>
      <c r="C415" s="160"/>
      <c r="D415" s="160"/>
      <c r="E415" s="226" t="s">
        <v>163</v>
      </c>
      <c r="F415" s="160"/>
      <c r="G415" s="194"/>
      <c r="H415" s="189" t="s">
        <v>14</v>
      </c>
      <c r="I415" s="45"/>
      <c r="J415" s="45"/>
      <c r="K415" s="46"/>
      <c r="L415" s="47">
        <f t="shared" ref="L415:N415" ca="1" si="322">L418+L421</f>
        <v>2053310</v>
      </c>
      <c r="M415" s="47">
        <f t="shared" ca="1" si="322"/>
        <v>3188983</v>
      </c>
      <c r="N415" s="47">
        <f t="shared" ca="1" si="322"/>
        <v>2671762.4500000002</v>
      </c>
      <c r="O415" s="47">
        <f t="shared" ca="1" si="315"/>
        <v>130.11977977022468</v>
      </c>
      <c r="P415" s="47">
        <f t="shared" ca="1" si="316"/>
        <v>83.781018901637296</v>
      </c>
      <c r="Q415" s="47">
        <f t="shared" ref="Q415:S415" ca="1" si="323">Q418+Q421</f>
        <v>347120</v>
      </c>
      <c r="R415" s="47">
        <f t="shared" ca="1" si="323"/>
        <v>331074.09999999998</v>
      </c>
      <c r="S415" s="47">
        <f t="shared" ca="1" si="323"/>
        <v>142707.1</v>
      </c>
      <c r="T415" s="47">
        <f t="shared" ca="1" si="318"/>
        <v>41.111748098640241</v>
      </c>
      <c r="U415" s="47">
        <f t="shared" ca="1" si="319"/>
        <v>43.104277864079371</v>
      </c>
    </row>
    <row r="416" spans="1:21" ht="19.5" x14ac:dyDescent="0.3">
      <c r="A416" s="129"/>
      <c r="B416" s="160"/>
      <c r="C416" s="160"/>
      <c r="D416" s="345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47">
        <f t="shared" ref="L416:N416" ca="1" si="324">L417+L418</f>
        <v>2053310</v>
      </c>
      <c r="M416" s="47">
        <f t="shared" ca="1" si="324"/>
        <v>3188983</v>
      </c>
      <c r="N416" s="47">
        <f t="shared" ca="1" si="324"/>
        <v>2671762.4500000002</v>
      </c>
      <c r="O416" s="47">
        <f t="shared" ca="1" si="315"/>
        <v>130.11977977022468</v>
      </c>
      <c r="P416" s="47">
        <f t="shared" ca="1" si="316"/>
        <v>83.781018901637296</v>
      </c>
      <c r="Q416" s="47">
        <f t="shared" ref="Q416:S416" ca="1" si="325">Q417+Q418</f>
        <v>347120</v>
      </c>
      <c r="R416" s="47">
        <f t="shared" ca="1" si="325"/>
        <v>331074.09999999998</v>
      </c>
      <c r="S416" s="47">
        <f t="shared" ca="1" si="325"/>
        <v>142707.1</v>
      </c>
      <c r="T416" s="47">
        <f t="shared" ca="1" si="318"/>
        <v>41.111748098640241</v>
      </c>
      <c r="U416" s="47">
        <f t="shared" ca="1" si="319"/>
        <v>43.104277864079371</v>
      </c>
    </row>
    <row r="417" spans="1:21" ht="18.75" hidden="1" x14ac:dyDescent="0.25">
      <c r="A417" s="129"/>
      <c r="B417" s="160"/>
      <c r="C417" s="160"/>
      <c r="D417" s="160"/>
      <c r="E417" s="365" t="s">
        <v>162</v>
      </c>
      <c r="F417" s="160"/>
      <c r="G417" s="194"/>
      <c r="H417" s="190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5"/>
        <v>0</v>
      </c>
      <c r="P417" s="49">
        <f t="shared" ca="1" si="316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8"/>
        <v>0</v>
      </c>
      <c r="U417" s="49">
        <f t="shared" ca="1" si="319"/>
        <v>0</v>
      </c>
    </row>
    <row r="418" spans="1:21" ht="18.75" hidden="1" x14ac:dyDescent="0.25">
      <c r="A418" s="129"/>
      <c r="B418" s="160"/>
      <c r="C418" s="160"/>
      <c r="D418" s="160"/>
      <c r="E418" s="226" t="s">
        <v>163</v>
      </c>
      <c r="F418" s="160"/>
      <c r="G418" s="194"/>
      <c r="H418" s="189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3188983)</f>
        <v>3188983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2671762.45)</f>
        <v>2671762.4500000002</v>
      </c>
      <c r="O418" s="47">
        <f t="shared" ca="1" si="315"/>
        <v>130.11977977022468</v>
      </c>
      <c r="P418" s="47">
        <f t="shared" ca="1" si="316"/>
        <v>83.781018901637296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331074.1)</f>
        <v>331074.09999999998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142707.1)</f>
        <v>142707.1</v>
      </c>
      <c r="T418" s="47">
        <f t="shared" ca="1" si="318"/>
        <v>41.111748098640241</v>
      </c>
      <c r="U418" s="47">
        <f t="shared" ca="1" si="319"/>
        <v>43.104277864079371</v>
      </c>
    </row>
    <row r="419" spans="1:21" ht="19.5" x14ac:dyDescent="0.3">
      <c r="A419" s="129"/>
      <c r="B419" s="160"/>
      <c r="C419" s="160"/>
      <c r="D419" s="345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47">
        <f t="shared" ref="L419:N419" ca="1" si="326">L420+L421</f>
        <v>0</v>
      </c>
      <c r="M419" s="47">
        <f t="shared" ca="1" si="326"/>
        <v>0</v>
      </c>
      <c r="N419" s="47">
        <f t="shared" ca="1" si="326"/>
        <v>0</v>
      </c>
      <c r="O419" s="47">
        <f t="shared" ca="1" si="315"/>
        <v>0</v>
      </c>
      <c r="P419" s="47">
        <f t="shared" ca="1" si="316"/>
        <v>0</v>
      </c>
      <c r="Q419" s="47">
        <f t="shared" ref="Q419:S419" ca="1" si="327">Q420+Q421</f>
        <v>0</v>
      </c>
      <c r="R419" s="47">
        <f t="shared" ca="1" si="327"/>
        <v>0</v>
      </c>
      <c r="S419" s="47">
        <f t="shared" ca="1" si="327"/>
        <v>0</v>
      </c>
      <c r="T419" s="47">
        <f t="shared" ca="1" si="318"/>
        <v>0</v>
      </c>
      <c r="U419" s="47">
        <f t="shared" ca="1" si="319"/>
        <v>0</v>
      </c>
    </row>
    <row r="420" spans="1:21" ht="18.75" hidden="1" x14ac:dyDescent="0.25">
      <c r="A420" s="129"/>
      <c r="B420" s="160"/>
      <c r="C420" s="160"/>
      <c r="D420" s="160"/>
      <c r="E420" s="365" t="s">
        <v>20</v>
      </c>
      <c r="F420" s="160"/>
      <c r="G420" s="194"/>
      <c r="H420" s="190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5"/>
        <v>0</v>
      </c>
      <c r="P420" s="49">
        <f t="shared" ca="1" si="316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8"/>
        <v>0</v>
      </c>
      <c r="U420" s="49">
        <f t="shared" ca="1" si="319"/>
        <v>0</v>
      </c>
    </row>
    <row r="421" spans="1:21" ht="18.75" hidden="1" x14ac:dyDescent="0.25">
      <c r="A421" s="129"/>
      <c r="B421" s="160"/>
      <c r="C421" s="160"/>
      <c r="D421" s="160"/>
      <c r="E421" s="226" t="s">
        <v>21</v>
      </c>
      <c r="F421" s="160"/>
      <c r="G421" s="194"/>
      <c r="H421" s="134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5"/>
        <v>0</v>
      </c>
      <c r="P421" s="47">
        <f t="shared" ca="1" si="316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8"/>
        <v>0</v>
      </c>
      <c r="U421" s="47">
        <f t="shared" ca="1" si="319"/>
        <v>0</v>
      </c>
    </row>
    <row r="422" spans="1:21" ht="19.5" x14ac:dyDescent="0.3">
      <c r="A422" s="225"/>
      <c r="B422" s="160"/>
      <c r="C422" s="361" t="s">
        <v>18</v>
      </c>
      <c r="D422" s="366" t="s">
        <v>38</v>
      </c>
      <c r="E422" s="160"/>
      <c r="F422" s="160"/>
      <c r="G422" s="194"/>
      <c r="H422" s="194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25"/>
      <c r="B423" s="367" t="s">
        <v>164</v>
      </c>
      <c r="C423" s="160"/>
      <c r="D423" s="160"/>
      <c r="E423" s="160"/>
      <c r="F423" s="160"/>
      <c r="G423" s="194"/>
      <c r="H423" s="362" t="s">
        <v>46</v>
      </c>
      <c r="I423" s="148">
        <f ca="1">I440</f>
        <v>216167</v>
      </c>
      <c r="J423" s="148">
        <f ca="1">J432</f>
        <v>29592.959999999999</v>
      </c>
      <c r="K423" s="133">
        <f t="shared" ref="K423:K425" ca="1" si="328">IF(I423&gt;0,J423*100/I423,0)</f>
        <v>13.68986015441765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148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8">
        <f t="shared" ref="J424:J425" ca="1" si="329">J426+J428+J430</f>
        <v>191206.91</v>
      </c>
      <c r="K424" s="133">
        <f t="shared" ca="1" si="328"/>
        <v>88.45333006425588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148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8">
        <f t="shared" ca="1" si="329"/>
        <v>17447</v>
      </c>
      <c r="K425" s="133">
        <f t="shared" ca="1" si="328"/>
        <v>86.371287128712865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25"/>
      <c r="B426" s="160"/>
      <c r="C426" s="160"/>
      <c r="D426" s="226" t="s">
        <v>166</v>
      </c>
      <c r="E426" s="160"/>
      <c r="F426" s="160"/>
      <c r="G426" s="194"/>
      <c r="H426" s="134" t="s">
        <v>46</v>
      </c>
      <c r="I426" s="45"/>
      <c r="J426" s="153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144686.62)</f>
        <v>144686.62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153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13635)</f>
        <v>13635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25"/>
      <c r="B428" s="160"/>
      <c r="C428" s="160"/>
      <c r="D428" s="226" t="s">
        <v>167</v>
      </c>
      <c r="E428" s="160"/>
      <c r="F428" s="160"/>
      <c r="G428" s="194"/>
      <c r="H428" s="134" t="s">
        <v>46</v>
      </c>
      <c r="I428" s="45"/>
      <c r="J428" s="153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40864)</f>
        <v>40864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153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3282)</f>
        <v>3282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25"/>
      <c r="B430" s="160"/>
      <c r="C430" s="160"/>
      <c r="D430" s="226" t="s">
        <v>168</v>
      </c>
      <c r="E430" s="160"/>
      <c r="F430" s="160"/>
      <c r="G430" s="194"/>
      <c r="H430" s="134" t="s">
        <v>46</v>
      </c>
      <c r="I430" s="45"/>
      <c r="J430" s="153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5656.29)</f>
        <v>5656.29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153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530)</f>
        <v>530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148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8">
        <f t="shared" ref="J432:J433" ca="1" si="330">J434+J436+J438</f>
        <v>29592.959999999999</v>
      </c>
      <c r="K432" s="133">
        <f t="shared" ref="K432:K433" ca="1" si="331">IF(I432&gt;0,J432*100/I432,0)</f>
        <v>13.68986015441765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148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8">
        <f t="shared" ca="1" si="330"/>
        <v>3803</v>
      </c>
      <c r="K433" s="133">
        <f t="shared" ca="1" si="331"/>
        <v>18.826732673267326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25"/>
      <c r="B434" s="160"/>
      <c r="C434" s="160"/>
      <c r="D434" s="226" t="s">
        <v>170</v>
      </c>
      <c r="E434" s="160"/>
      <c r="F434" s="160"/>
      <c r="G434" s="194"/>
      <c r="H434" s="134" t="s">
        <v>46</v>
      </c>
      <c r="I434" s="45"/>
      <c r="J434" s="153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25427)</f>
        <v>25427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153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3376)</f>
        <v>3376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25"/>
      <c r="B436" s="160"/>
      <c r="C436" s="160"/>
      <c r="D436" s="226" t="s">
        <v>171</v>
      </c>
      <c r="E436" s="160"/>
      <c r="F436" s="160"/>
      <c r="G436" s="194"/>
      <c r="H436" s="134" t="s">
        <v>46</v>
      </c>
      <c r="I436" s="45"/>
      <c r="J436" s="153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1940.67)</f>
        <v>1940.67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153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206)</f>
        <v>206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25"/>
      <c r="B438" s="160"/>
      <c r="C438" s="160"/>
      <c r="D438" s="226" t="s">
        <v>172</v>
      </c>
      <c r="E438" s="160"/>
      <c r="F438" s="160"/>
      <c r="G438" s="194"/>
      <c r="H438" s="134" t="s">
        <v>46</v>
      </c>
      <c r="I438" s="45"/>
      <c r="J438" s="153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2225.29)</f>
        <v>2225.29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153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221)</f>
        <v>221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148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8">
        <f t="shared" ref="J440:J441" ca="1" si="332">J442+J444+J446+J452+J454</f>
        <v>3577</v>
      </c>
      <c r="K440" s="133">
        <f t="shared" ref="K440:K441" ca="1" si="333">IF(I440&gt;0,J440*100/I440,0)</f>
        <v>1.6547391600012953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148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8">
        <f t="shared" ca="1" si="332"/>
        <v>825</v>
      </c>
      <c r="K441" s="133">
        <f t="shared" ca="1" si="333"/>
        <v>4.0841584158415838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25"/>
      <c r="B442" s="160"/>
      <c r="C442" s="160"/>
      <c r="D442" s="226" t="s">
        <v>174</v>
      </c>
      <c r="E442" s="160"/>
      <c r="F442" s="160"/>
      <c r="G442" s="194"/>
      <c r="H442" s="134" t="s">
        <v>46</v>
      </c>
      <c r="I442" s="45"/>
      <c r="J442" s="153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3431)</f>
        <v>3431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153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790)</f>
        <v>790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25"/>
      <c r="B444" s="160"/>
      <c r="C444" s="160"/>
      <c r="D444" s="226" t="s">
        <v>175</v>
      </c>
      <c r="E444" s="160"/>
      <c r="F444" s="160"/>
      <c r="G444" s="194"/>
      <c r="H444" s="134" t="s">
        <v>46</v>
      </c>
      <c r="I444" s="45"/>
      <c r="J444" s="153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34)</f>
        <v>34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153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6)</f>
        <v>6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25"/>
      <c r="B446" s="160"/>
      <c r="C446" s="160"/>
      <c r="D446" s="226" t="s">
        <v>176</v>
      </c>
      <c r="E446" s="160"/>
      <c r="F446" s="160"/>
      <c r="G446" s="194"/>
      <c r="H446" s="134" t="s">
        <v>46</v>
      </c>
      <c r="I446" s="45"/>
      <c r="J446" s="148">
        <f t="shared" ref="J446:J447" ca="1" si="334">J448+J450</f>
        <v>112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148">
        <f t="shared" ca="1" si="334"/>
        <v>29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25"/>
      <c r="B448" s="160"/>
      <c r="C448" s="160"/>
      <c r="D448" s="160"/>
      <c r="E448" s="226" t="s">
        <v>177</v>
      </c>
      <c r="F448" s="160"/>
      <c r="G448" s="194"/>
      <c r="H448" s="134" t="s">
        <v>46</v>
      </c>
      <c r="I448" s="45"/>
      <c r="J448" s="153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112)</f>
        <v>112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153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29)</f>
        <v>29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25"/>
      <c r="B450" s="160"/>
      <c r="C450" s="160"/>
      <c r="D450" s="160"/>
      <c r="E450" s="226" t="s">
        <v>178</v>
      </c>
      <c r="F450" s="160"/>
      <c r="G450" s="194"/>
      <c r="H450" s="134" t="s">
        <v>46</v>
      </c>
      <c r="I450" s="45"/>
      <c r="J450" s="153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153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25"/>
      <c r="B452" s="160"/>
      <c r="C452" s="160"/>
      <c r="D452" s="226" t="s">
        <v>179</v>
      </c>
      <c r="E452" s="160"/>
      <c r="F452" s="160"/>
      <c r="G452" s="194"/>
      <c r="H452" s="134" t="s">
        <v>46</v>
      </c>
      <c r="I452" s="45"/>
      <c r="J452" s="153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153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25"/>
      <c r="B454" s="160"/>
      <c r="C454" s="160"/>
      <c r="D454" s="226" t="s">
        <v>180</v>
      </c>
      <c r="E454" s="160"/>
      <c r="F454" s="160"/>
      <c r="G454" s="194"/>
      <c r="H454" s="134" t="s">
        <v>46</v>
      </c>
      <c r="I454" s="45"/>
      <c r="J454" s="368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153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25"/>
      <c r="B456" s="367" t="s">
        <v>181</v>
      </c>
      <c r="C456" s="160"/>
      <c r="D456" s="160"/>
      <c r="E456" s="160"/>
      <c r="F456" s="160"/>
      <c r="G456" s="194"/>
      <c r="H456" s="362" t="s">
        <v>46</v>
      </c>
      <c r="I456" s="148">
        <f t="shared" ref="I456:J456" ca="1" si="335">I457</f>
        <v>19003.45</v>
      </c>
      <c r="J456" s="148">
        <f t="shared" ca="1" si="335"/>
        <v>3073.95</v>
      </c>
      <c r="K456" s="133">
        <f t="shared" ref="K456:K458" ca="1" si="336">IF(I456&gt;0,J456*100/I456,0)</f>
        <v>16.175747035406729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148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19003.45)</f>
        <v>19003.45</v>
      </c>
      <c r="J457" s="148">
        <f t="shared" ref="J457:J458" ca="1" si="337">J459+J467+J473</f>
        <v>3073.95</v>
      </c>
      <c r="K457" s="133">
        <f t="shared" ca="1" si="336"/>
        <v>16.175747035406729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148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1815)</f>
        <v>1815</v>
      </c>
      <c r="J458" s="148">
        <f t="shared" ca="1" si="337"/>
        <v>304</v>
      </c>
      <c r="K458" s="133">
        <f t="shared" ca="1" si="336"/>
        <v>16.749311294765839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226" t="s">
        <v>183</v>
      </c>
      <c r="D459" s="160"/>
      <c r="E459" s="160"/>
      <c r="F459" s="160"/>
      <c r="G459" s="194"/>
      <c r="H459" s="134" t="s">
        <v>46</v>
      </c>
      <c r="I459" s="45"/>
      <c r="J459" s="153">
        <f t="shared" ref="J459:J460" ca="1" si="338">J461+J463</f>
        <v>2968.7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153">
        <f t="shared" ca="1" si="338"/>
        <v>289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153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2890.91)</f>
        <v>2890.91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153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274)</f>
        <v>274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153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77.7899999999999)</f>
        <v>77.789999999999907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153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15)</f>
        <v>15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153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153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153">
        <f t="shared" ref="J467:J468" ca="1" si="339">J469+J471</f>
        <v>103.62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153">
        <f t="shared" ca="1" si="339"/>
        <v>14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153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78.87)</f>
        <v>78.87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153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8)</f>
        <v>8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153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24.75)</f>
        <v>24.75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153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6)</f>
        <v>6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226" t="s">
        <v>190</v>
      </c>
      <c r="D473" s="160"/>
      <c r="E473" s="160"/>
      <c r="F473" s="160"/>
      <c r="G473" s="194"/>
      <c r="H473" s="134" t="s">
        <v>46</v>
      </c>
      <c r="I473" s="45"/>
      <c r="J473" s="153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1.63)</f>
        <v>1.63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153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1)</f>
        <v>1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225"/>
      <c r="B475" s="370" t="s">
        <v>191</v>
      </c>
      <c r="C475" s="160"/>
      <c r="D475" s="160"/>
      <c r="E475" s="160"/>
      <c r="F475" s="160"/>
      <c r="G475" s="194"/>
      <c r="H475" s="132" t="s">
        <v>46</v>
      </c>
      <c r="I475" s="371">
        <f t="shared" ref="I475:J475" ca="1" si="340">I484</f>
        <v>189</v>
      </c>
      <c r="J475" s="148">
        <f t="shared" ca="1" si="340"/>
        <v>28</v>
      </c>
      <c r="K475" s="133">
        <f t="shared" ref="K475:K477" ca="1" si="341">IF(I475&gt;0,J475*100/I475,0)</f>
        <v>14.814814814814815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25"/>
      <c r="B476" s="160"/>
      <c r="C476" s="367" t="s">
        <v>192</v>
      </c>
      <c r="D476" s="160"/>
      <c r="E476" s="160"/>
      <c r="F476" s="160"/>
      <c r="G476" s="194"/>
      <c r="H476" s="132" t="s">
        <v>46</v>
      </c>
      <c r="I476" s="148">
        <v>0</v>
      </c>
      <c r="J476" s="148">
        <f t="shared" ref="J476:J477" ca="1" si="342">J478+J480</f>
        <v>0</v>
      </c>
      <c r="K476" s="133">
        <f t="shared" si="341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25"/>
      <c r="B477" s="160"/>
      <c r="C477" s="226" t="s">
        <v>193</v>
      </c>
      <c r="D477" s="160"/>
      <c r="E477" s="160"/>
      <c r="F477" s="160"/>
      <c r="G477" s="194"/>
      <c r="H477" s="132" t="s">
        <v>34</v>
      </c>
      <c r="I477" s="148">
        <v>0</v>
      </c>
      <c r="J477" s="148">
        <f t="shared" ca="1" si="342"/>
        <v>0</v>
      </c>
      <c r="K477" s="133">
        <f t="shared" si="341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25"/>
      <c r="B478" s="160"/>
      <c r="C478" s="160"/>
      <c r="D478" s="226" t="s">
        <v>194</v>
      </c>
      <c r="E478" s="160"/>
      <c r="F478" s="160"/>
      <c r="G478" s="194"/>
      <c r="H478" s="134" t="s">
        <v>46</v>
      </c>
      <c r="I478" s="45"/>
      <c r="J478" s="153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153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153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153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372"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372"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225"/>
      <c r="B484" s="160"/>
      <c r="C484" s="367" t="s">
        <v>197</v>
      </c>
      <c r="D484" s="160"/>
      <c r="E484" s="160"/>
      <c r="F484" s="160"/>
      <c r="G484" s="194"/>
      <c r="H484" s="132" t="s">
        <v>46</v>
      </c>
      <c r="I484" s="148">
        <f ca="1">IFERROR(__xludf.DUMMYFUNCTION("IMPORTRANGE(""https://docs.google.com/spreadsheets/d/1kKUcYdkIfrgTSj8iHHHB2MD2FAtwyyocFgqGQn6ADyI/edit?usp=sharing"",""กระบี่!I484"")+IMPORTRANGE(""https://docs.google.com/spreadsheets/d/1GwtLaSlNZkLk7iDqcyZz22giiy40b_usZZBXYciEN1U/edit?usp=sharing"",""ชุ"&amp;"มพร!I484"")+IMPORTRANGE(""https://docs.google.com/spreadsheets/d/16pAz3pOhQEZBhvFNMa5KGgZS6iKWpsKX0pg6tQmwFpo/edit?usp=sharing"",""ตรัง!I484"")+IMPORTRANGE(""https://docs.google.com/spreadsheets/d/1Dj4jcHCTV9JXKCaMoheSXS52JE63kDKyG7bPXnFogHk/edit?usp=shar"&amp;"ing"",""นครศรีธรรมราช!I484"")+IMPORTRANGE(""https://docs.google.com/spreadsheets/d/1iodCdmuK2GR3jzUwk8tpccY2JHQQA-87DLOtJP-ooyU/edit?usp=sharing"",""นราธิวาส!I484"")+IMPORTRANGE(""https://docs.google.com/spreadsheets/d/1SDNX3JhDdYRuIOsj0Wh2M-Qa_eaXl0NbWmh"&amp;"AOTbfQAs/edit?usp=sharing"",""ปัตตานี!I484"")+IMPORTRANGE(""https://docs.google.com/spreadsheets/d/16JDLGguT8s5DsGCND1KcwHP_AWR_zDMTqLHPLJUKhaU/edit?usp=sharing"",""พังงา!I484"")+IMPORTRANGE(""https://docs.google.com/spreadsheets/d/17ht0gPKzzT3PObBL1XJkeR"&amp;"mntBXI7wGjpLV7QorqlTk/edit?usp=sharing"",""พัทลุง!I484"")+IMPORTRANGE(""https://docs.google.com/spreadsheets/d/1rd4qoM1q_hsgaolqNGfrim9gbsoLxQsda4-vOz5x_BM/edit?usp=sharing"",""ภูเก็ต!I484"")+IMPORTRANGE(""https://docs.google.com/spreadsheets/d/1woKwKjgoL"&amp;"ssDvPcPeVyezB5izizAn4X1JDrys69n6xI/edit?usp=sharing"",""ยะลา!I484"")+IMPORTRANGE(""https://docs.google.com/spreadsheets/d/1qfrKjzMhm2HJfxQ-qVlJlJQ25Hne1d0khsySbZyGtPA/edit?usp=sharing"",""ระนอง!I484"")+IMPORTRANGE(""https://docs.google.com/spreadsheets/d/"&amp;"1IbSCnFOKpZsnFogBHJnL_isstZVaOMnFiIN0fGTPZZw/edit?usp=sharing"",""สงขลา!I484"")+IMPORTRANGE(""https://docs.google.com/spreadsheets/d/1q9nWasZJ-K8bFGvbE9n0qSRuKGA4Toe3Y89cKCiVtCU/edit?usp=sharing"",""สตูล!I484"")+IMPORTRANGE(""https://docs.google.com/sprea"&amp;"dsheets/d/18T20gbkS_WBjdscyTOV05cvq_JqvqQ17C81mpxf7Ncs/edit?usp=sharing"",""สุราษฎร์ธานี!I484"")"),189)</f>
        <v>189</v>
      </c>
      <c r="J484" s="148">
        <f t="shared" ref="J484:J485" ca="1" si="343">J486+J488+J490</f>
        <v>28</v>
      </c>
      <c r="K484" s="133">
        <f t="shared" ref="K484:K485" ca="1" si="344">IF(I484&gt;0,J484*100/I484,0)</f>
        <v>14.814814814814815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x14ac:dyDescent="0.3">
      <c r="A485" s="225"/>
      <c r="B485" s="160"/>
      <c r="C485" s="226" t="s">
        <v>198</v>
      </c>
      <c r="D485" s="160"/>
      <c r="E485" s="160"/>
      <c r="F485" s="160"/>
      <c r="G485" s="194"/>
      <c r="H485" s="132" t="s">
        <v>34</v>
      </c>
      <c r="I485" s="148">
        <f ca="1">IFERROR(__xludf.DUMMYFUNCTION("IMPORTRANGE(""https://docs.google.com/spreadsheets/d/1kKUcYdkIfrgTSj8iHHHB2MD2FAtwyyocFgqGQn6ADyI/edit?usp=sharing"",""กระบี่!I485"")+IMPORTRANGE(""https://docs.google.com/spreadsheets/d/1GwtLaSlNZkLk7iDqcyZz22giiy40b_usZZBXYciEN1U/edit?usp=sharing"",""ชุ"&amp;"มพร!I485"")+IMPORTRANGE(""https://docs.google.com/spreadsheets/d/16pAz3pOhQEZBhvFNMa5KGgZS6iKWpsKX0pg6tQmwFpo/edit?usp=sharing"",""ตรัง!I485"")+IMPORTRANGE(""https://docs.google.com/spreadsheets/d/1Dj4jcHCTV9JXKCaMoheSXS52JE63kDKyG7bPXnFogHk/edit?usp=shar"&amp;"ing"",""นครศรีธรรมราช!I485"")+IMPORTRANGE(""https://docs.google.com/spreadsheets/d/1iodCdmuK2GR3jzUwk8tpccY2JHQQA-87DLOtJP-ooyU/edit?usp=sharing"",""นราธิวาส!I485"")+IMPORTRANGE(""https://docs.google.com/spreadsheets/d/1SDNX3JhDdYRuIOsj0Wh2M-Qa_eaXl0NbWmh"&amp;"AOTbfQAs/edit?usp=sharing"",""ปัตตานี!I485"")+IMPORTRANGE(""https://docs.google.com/spreadsheets/d/16JDLGguT8s5DsGCND1KcwHP_AWR_zDMTqLHPLJUKhaU/edit?usp=sharing"",""พังงา!I485"")+IMPORTRANGE(""https://docs.google.com/spreadsheets/d/17ht0gPKzzT3PObBL1XJkeR"&amp;"mntBXI7wGjpLV7QorqlTk/edit?usp=sharing"",""พัทลุง!I485"")+IMPORTRANGE(""https://docs.google.com/spreadsheets/d/1rd4qoM1q_hsgaolqNGfrim9gbsoLxQsda4-vOz5x_BM/edit?usp=sharing"",""ภูเก็ต!I485"")+IMPORTRANGE(""https://docs.google.com/spreadsheets/d/1woKwKjgoL"&amp;"ssDvPcPeVyezB5izizAn4X1JDrys69n6xI/edit?usp=sharing"",""ยะลา!I485"")+IMPORTRANGE(""https://docs.google.com/spreadsheets/d/1qfrKjzMhm2HJfxQ-qVlJlJQ25Hne1d0khsySbZyGtPA/edit?usp=sharing"",""ระนอง!I485"")+IMPORTRANGE(""https://docs.google.com/spreadsheets/d/"&amp;"1IbSCnFOKpZsnFogBHJnL_isstZVaOMnFiIN0fGTPZZw/edit?usp=sharing"",""สงขลา!I485"")+IMPORTRANGE(""https://docs.google.com/spreadsheets/d/1q9nWasZJ-K8bFGvbE9n0qSRuKGA4Toe3Y89cKCiVtCU/edit?usp=sharing"",""สตูล!I485"")+IMPORTRANGE(""https://docs.google.com/sprea"&amp;"dsheets/d/18T20gbkS_WBjdscyTOV05cvq_JqvqQ17C81mpxf7Ncs/edit?usp=sharing"",""สุราษฎร์ธานี!I485"")"),29)</f>
        <v>29</v>
      </c>
      <c r="J485" s="148">
        <f t="shared" ca="1" si="343"/>
        <v>3</v>
      </c>
      <c r="K485" s="133">
        <f t="shared" ca="1" si="344"/>
        <v>10.344827586206897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153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153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153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28)</f>
        <v>28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153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3)</f>
        <v>3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153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205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45">I503</f>
        <v>210</v>
      </c>
      <c r="J492" s="321">
        <f t="shared" ca="1" si="345"/>
        <v>210</v>
      </c>
      <c r="K492" s="322">
        <f ca="1">IF(I492&gt;0,J492*100/I492,0)</f>
        <v>100</v>
      </c>
      <c r="L492" s="323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x14ac:dyDescent="0.3">
      <c r="A493" s="129"/>
      <c r="B493" s="160"/>
      <c r="C493" s="191" t="s">
        <v>18</v>
      </c>
      <c r="D493" s="550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133">
        <f t="shared" ref="L493:N493" ca="1" si="346">L494+L495</f>
        <v>124100</v>
      </c>
      <c r="M493" s="133">
        <f t="shared" ca="1" si="346"/>
        <v>124100</v>
      </c>
      <c r="N493" s="133">
        <f t="shared" ca="1" si="346"/>
        <v>122110.3</v>
      </c>
      <c r="O493" s="133">
        <f t="shared" ref="O493:O501" ca="1" si="347">IF(L493&gt;0,N493*100/L493,0)</f>
        <v>98.396696212731669</v>
      </c>
      <c r="P493" s="133">
        <f t="shared" ref="P493:P501" ca="1" si="348">IF(M493&gt;0,N493*100/M493,0)</f>
        <v>98.396696212731669</v>
      </c>
      <c r="Q493" s="133">
        <f t="shared" ref="Q493:S493" ca="1" si="349">Q494+Q495</f>
        <v>2737845</v>
      </c>
      <c r="R493" s="133">
        <f t="shared" ca="1" si="349"/>
        <v>2713628.34</v>
      </c>
      <c r="S493" s="133">
        <f t="shared" ca="1" si="349"/>
        <v>2045909.93</v>
      </c>
      <c r="T493" s="133">
        <f t="shared" ref="T493:T501" ca="1" si="350">IF(Q493&gt;0,S493*100/Q493,0)</f>
        <v>74.727018147484614</v>
      </c>
      <c r="U493" s="133">
        <f t="shared" ref="U493:U501" ca="1" si="351">IF(R493&gt;0,S493*100/R493,0)</f>
        <v>75.393888685581757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41"/>
      <c r="G494" s="43"/>
      <c r="H494" s="161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hidden="1" x14ac:dyDescent="0.25">
      <c r="A495" s="129"/>
      <c r="B495" s="160"/>
      <c r="C495" s="160"/>
      <c r="D495" s="140"/>
      <c r="E495" s="48" t="s">
        <v>163</v>
      </c>
      <c r="F495" s="41"/>
      <c r="G495" s="43"/>
      <c r="H495" s="135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124100</v>
      </c>
      <c r="N495" s="47">
        <f t="shared" ca="1" si="354"/>
        <v>122110.3</v>
      </c>
      <c r="O495" s="47">
        <f t="shared" ca="1" si="347"/>
        <v>98.396696212731669</v>
      </c>
      <c r="P495" s="47">
        <f t="shared" ca="1" si="348"/>
        <v>98.396696212731669</v>
      </c>
      <c r="Q495" s="47">
        <f t="shared" ref="Q495:S495" ca="1" si="355">Q498+Q501</f>
        <v>2737845</v>
      </c>
      <c r="R495" s="47">
        <f t="shared" ca="1" si="355"/>
        <v>2713628.34</v>
      </c>
      <c r="S495" s="47">
        <f t="shared" ca="1" si="355"/>
        <v>2045909.93</v>
      </c>
      <c r="T495" s="47">
        <f t="shared" ca="1" si="350"/>
        <v>74.727018147484614</v>
      </c>
      <c r="U495" s="47">
        <f t="shared" ca="1" si="351"/>
        <v>75.393888685581757</v>
      </c>
    </row>
    <row r="496" spans="1:21" ht="18.75" x14ac:dyDescent="0.25">
      <c r="A496" s="129"/>
      <c r="B496" s="160"/>
      <c r="C496" s="160"/>
      <c r="D496" s="162" t="s">
        <v>22</v>
      </c>
      <c r="E496" s="41"/>
      <c r="F496" s="41"/>
      <c r="G496" s="43"/>
      <c r="H496" s="135" t="s">
        <v>14</v>
      </c>
      <c r="I496" s="136"/>
      <c r="J496" s="136"/>
      <c r="K496" s="137"/>
      <c r="L496" s="47">
        <f t="shared" ref="L496:N496" ca="1" si="356">L497+L498</f>
        <v>124100</v>
      </c>
      <c r="M496" s="47">
        <f t="shared" ca="1" si="356"/>
        <v>124100</v>
      </c>
      <c r="N496" s="47">
        <f t="shared" ca="1" si="356"/>
        <v>122110.3</v>
      </c>
      <c r="O496" s="47">
        <f t="shared" ca="1" si="347"/>
        <v>98.396696212731669</v>
      </c>
      <c r="P496" s="47">
        <f t="shared" ca="1" si="348"/>
        <v>98.396696212731669</v>
      </c>
      <c r="Q496" s="47">
        <f t="shared" ref="Q496:S496" ca="1" si="357">Q497+Q498</f>
        <v>2737845</v>
      </c>
      <c r="R496" s="47">
        <f t="shared" ca="1" si="357"/>
        <v>2713628.34</v>
      </c>
      <c r="S496" s="47">
        <f t="shared" ca="1" si="357"/>
        <v>2045909.93</v>
      </c>
      <c r="T496" s="47">
        <f t="shared" ca="1" si="350"/>
        <v>74.727018147484614</v>
      </c>
      <c r="U496" s="47">
        <f t="shared" ca="1" si="351"/>
        <v>75.393888685581757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41"/>
      <c r="G497" s="43"/>
      <c r="H497" s="161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hidden="1" x14ac:dyDescent="0.25">
      <c r="A498" s="129"/>
      <c r="B498" s="160"/>
      <c r="C498" s="160"/>
      <c r="D498" s="140"/>
      <c r="E498" s="48" t="s">
        <v>163</v>
      </c>
      <c r="F498" s="41"/>
      <c r="G498" s="43"/>
      <c r="H498" s="135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124100)</f>
        <v>124100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122110.3)</f>
        <v>122110.3</v>
      </c>
      <c r="O498" s="47">
        <f t="shared" ca="1" si="347"/>
        <v>98.396696212731669</v>
      </c>
      <c r="P498" s="47">
        <f t="shared" ca="1" si="348"/>
        <v>98.396696212731669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2713628.34)</f>
        <v>2713628.34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2045909.93)</f>
        <v>2045909.93</v>
      </c>
      <c r="T498" s="47">
        <f t="shared" ca="1" si="350"/>
        <v>74.727018147484614</v>
      </c>
      <c r="U498" s="47">
        <f t="shared" ca="1" si="351"/>
        <v>75.393888685581757</v>
      </c>
    </row>
    <row r="499" spans="1:21" ht="18.75" x14ac:dyDescent="0.25">
      <c r="A499" s="129"/>
      <c r="B499" s="160"/>
      <c r="C499" s="160"/>
      <c r="D499" s="162" t="s">
        <v>23</v>
      </c>
      <c r="E499" s="41"/>
      <c r="F499" s="41"/>
      <c r="G499" s="43"/>
      <c r="H499" s="138" t="s">
        <v>14</v>
      </c>
      <c r="I499" s="136"/>
      <c r="J499" s="136"/>
      <c r="K499" s="137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41"/>
      <c r="G500" s="43"/>
      <c r="H500" s="161" t="s">
        <v>14</v>
      </c>
      <c r="I500" s="136"/>
      <c r="J500" s="136"/>
      <c r="K500" s="137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hidden="1" x14ac:dyDescent="0.25">
      <c r="A501" s="129"/>
      <c r="B501" s="160"/>
      <c r="C501" s="160"/>
      <c r="D501" s="160"/>
      <c r="E501" s="48" t="s">
        <v>21</v>
      </c>
      <c r="F501" s="41"/>
      <c r="G501" s="43"/>
      <c r="H501" s="138" t="s">
        <v>14</v>
      </c>
      <c r="I501" s="136"/>
      <c r="J501" s="136"/>
      <c r="K501" s="137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9"/>
      <c r="B502" s="140"/>
      <c r="C502" s="191" t="s">
        <v>18</v>
      </c>
      <c r="D502" s="346" t="s">
        <v>38</v>
      </c>
      <c r="E502" s="142"/>
      <c r="F502" s="142"/>
      <c r="G502" s="143"/>
      <c r="H502" s="192"/>
      <c r="I502" s="136"/>
      <c r="J502" s="136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x14ac:dyDescent="0.3">
      <c r="A503" s="225"/>
      <c r="B503" s="160"/>
      <c r="C503" s="160"/>
      <c r="D503" s="367" t="s">
        <v>203</v>
      </c>
      <c r="E503" s="41"/>
      <c r="F503" s="41"/>
      <c r="G503" s="43"/>
      <c r="H503" s="134" t="s">
        <v>35</v>
      </c>
      <c r="I503" s="153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3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210)</f>
        <v>210</v>
      </c>
      <c r="K503" s="133">
        <f t="shared" ref="K503:K509" ca="1" si="360">IF(I503&gt;0,J503*100/I503,0)</f>
        <v>100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25"/>
      <c r="B504" s="160"/>
      <c r="C504" s="160"/>
      <c r="D504" s="160"/>
      <c r="E504" s="48" t="s">
        <v>204</v>
      </c>
      <c r="F504" s="41"/>
      <c r="G504" s="43"/>
      <c r="H504" s="134" t="s">
        <v>35</v>
      </c>
      <c r="I504" s="153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210)</f>
        <v>210</v>
      </c>
      <c r="J504" s="169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210)</f>
        <v>210</v>
      </c>
      <c r="K504" s="47">
        <f t="shared" ca="1" si="360"/>
        <v>100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25"/>
      <c r="B505" s="160"/>
      <c r="C505" s="160"/>
      <c r="D505" s="160"/>
      <c r="E505" s="48" t="s">
        <v>205</v>
      </c>
      <c r="F505" s="41"/>
      <c r="G505" s="43"/>
      <c r="H505" s="134" t="s">
        <v>35</v>
      </c>
      <c r="I505" s="153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210)</f>
        <v>210</v>
      </c>
      <c r="J505" s="169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209)</f>
        <v>209</v>
      </c>
      <c r="K505" s="47">
        <f t="shared" ca="1" si="360"/>
        <v>99.523809523809518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25"/>
      <c r="B506" s="160"/>
      <c r="C506" s="160"/>
      <c r="D506" s="160"/>
      <c r="E506" s="48" t="s">
        <v>206</v>
      </c>
      <c r="F506" s="41"/>
      <c r="G506" s="43"/>
      <c r="H506" s="134" t="s">
        <v>35</v>
      </c>
      <c r="I506" s="153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210)</f>
        <v>210</v>
      </c>
      <c r="J506" s="169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210)</f>
        <v>210</v>
      </c>
      <c r="K506" s="47">
        <f t="shared" ca="1" si="360"/>
        <v>100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25"/>
      <c r="B507" s="160"/>
      <c r="C507" s="160"/>
      <c r="D507" s="160"/>
      <c r="E507" s="376" t="s">
        <v>207</v>
      </c>
      <c r="F507" s="41"/>
      <c r="G507" s="43"/>
      <c r="H507" s="134" t="s">
        <v>35</v>
      </c>
      <c r="I507" s="153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50)</f>
        <v>50</v>
      </c>
      <c r="J507" s="169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50)</f>
        <v>50</v>
      </c>
      <c r="K507" s="47">
        <f t="shared" ca="1" si="360"/>
        <v>100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25"/>
      <c r="B508" s="160"/>
      <c r="C508" s="160"/>
      <c r="D508" s="160"/>
      <c r="E508" s="48" t="s">
        <v>208</v>
      </c>
      <c r="F508" s="41"/>
      <c r="G508" s="43"/>
      <c r="H508" s="134" t="s">
        <v>35</v>
      </c>
      <c r="I508" s="153">
        <v>0</v>
      </c>
      <c r="J508" s="153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78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110)</f>
        <v>110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79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383"/>
      <c r="M510" s="383"/>
      <c r="N510" s="383"/>
      <c r="O510" s="383"/>
      <c r="P510" s="384"/>
      <c r="Q510" s="383"/>
      <c r="R510" s="383"/>
      <c r="S510" s="383"/>
      <c r="T510" s="385"/>
      <c r="U510" s="385"/>
    </row>
    <row r="511" spans="1:21" ht="19.5" x14ac:dyDescent="0.3">
      <c r="A511" s="386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391"/>
      <c r="M511" s="391"/>
      <c r="N511" s="391"/>
      <c r="O511" s="391"/>
      <c r="P511" s="391"/>
      <c r="Q511" s="391"/>
      <c r="R511" s="391"/>
      <c r="S511" s="391"/>
      <c r="T511" s="392"/>
      <c r="U511" s="392"/>
    </row>
    <row r="512" spans="1:21" ht="19.5" x14ac:dyDescent="0.3">
      <c r="A512" s="393"/>
      <c r="B512" s="394" t="s">
        <v>211</v>
      </c>
      <c r="C512" s="395"/>
      <c r="D512" s="396"/>
      <c r="E512" s="396"/>
      <c r="F512" s="396"/>
      <c r="G512" s="397"/>
      <c r="H512" s="398" t="s">
        <v>61</v>
      </c>
      <c r="I512" s="399">
        <f t="shared" ref="I512:J512" ca="1" si="361">I524</f>
        <v>1</v>
      </c>
      <c r="J512" s="399">
        <f t="shared" ca="1" si="361"/>
        <v>0</v>
      </c>
      <c r="K512" s="400">
        <f ca="1">IF(I512&gt;0,J512*100/I512,0)</f>
        <v>0</v>
      </c>
      <c r="L512" s="401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x14ac:dyDescent="0.3">
      <c r="A513" s="129"/>
      <c r="B513" s="41"/>
      <c r="C513" s="130" t="s">
        <v>18</v>
      </c>
      <c r="D513" s="131" t="s">
        <v>19</v>
      </c>
      <c r="E513" s="41"/>
      <c r="F513" s="41"/>
      <c r="G513" s="43"/>
      <c r="H513" s="132" t="s">
        <v>14</v>
      </c>
      <c r="I513" s="45"/>
      <c r="J513" s="45"/>
      <c r="K513" s="46"/>
      <c r="L513" s="133">
        <f t="shared" ref="L513:N513" ca="1" si="362">L514+L515</f>
        <v>33423500</v>
      </c>
      <c r="M513" s="133">
        <f t="shared" ca="1" si="362"/>
        <v>33423500</v>
      </c>
      <c r="N513" s="133">
        <f t="shared" ca="1" si="362"/>
        <v>33423500</v>
      </c>
      <c r="O513" s="133">
        <f t="shared" ref="O513:O521" ca="1" si="363">IF(L513&gt;0,N513*100/L513,0)</f>
        <v>100</v>
      </c>
      <c r="P513" s="133">
        <f t="shared" ref="P513:P521" ca="1" si="364">IF(M513&gt;0,N513*100/M513,0)</f>
        <v>100</v>
      </c>
      <c r="Q513" s="133">
        <f t="shared" ref="Q513:S513" ca="1" si="365">Q514+Q515</f>
        <v>0</v>
      </c>
      <c r="R513" s="133">
        <f t="shared" ca="1" si="365"/>
        <v>0</v>
      </c>
      <c r="S513" s="133">
        <f t="shared" ca="1" si="365"/>
        <v>0</v>
      </c>
      <c r="T513" s="133">
        <f t="shared" ref="T513:T521" ca="1" si="366">IF(Q513&gt;0,S513*100/Q513,0)</f>
        <v>0</v>
      </c>
      <c r="U513" s="133">
        <f t="shared" ref="U513:U521" ca="1" si="367">IF(R513&gt;0,S513*100/R513,0)</f>
        <v>0</v>
      </c>
    </row>
    <row r="514" spans="1:21" ht="18.75" hidden="1" x14ac:dyDescent="0.25">
      <c r="A514" s="129"/>
      <c r="B514" s="41"/>
      <c r="C514" s="41"/>
      <c r="D514" s="41"/>
      <c r="E514" s="48" t="s">
        <v>20</v>
      </c>
      <c r="F514" s="41"/>
      <c r="G514" s="43"/>
      <c r="H514" s="134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hidden="1" x14ac:dyDescent="0.25">
      <c r="A515" s="129"/>
      <c r="B515" s="41"/>
      <c r="C515" s="41"/>
      <c r="D515" s="41"/>
      <c r="E515" s="48" t="s">
        <v>21</v>
      </c>
      <c r="F515" s="41"/>
      <c r="G515" s="43"/>
      <c r="H515" s="134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33423500</v>
      </c>
      <c r="N515" s="47">
        <f t="shared" ca="1" si="370"/>
        <v>33423500</v>
      </c>
      <c r="O515" s="47">
        <f t="shared" ca="1" si="363"/>
        <v>100</v>
      </c>
      <c r="P515" s="47">
        <f t="shared" ca="1" si="364"/>
        <v>100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9"/>
      <c r="B516" s="41"/>
      <c r="C516" s="41"/>
      <c r="D516" s="42" t="s">
        <v>22</v>
      </c>
      <c r="E516" s="41"/>
      <c r="F516" s="41"/>
      <c r="G516" s="43"/>
      <c r="H516" s="135" t="s">
        <v>14</v>
      </c>
      <c r="I516" s="136"/>
      <c r="J516" s="136"/>
      <c r="K516" s="137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hidden="1" x14ac:dyDescent="0.25">
      <c r="A517" s="129"/>
      <c r="B517" s="41"/>
      <c r="C517" s="41"/>
      <c r="D517" s="41"/>
      <c r="E517" s="48" t="s">
        <v>36</v>
      </c>
      <c r="F517" s="41"/>
      <c r="G517" s="43"/>
      <c r="H517" s="135" t="s">
        <v>14</v>
      </c>
      <c r="I517" s="136"/>
      <c r="J517" s="136"/>
      <c r="K517" s="137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hidden="1" x14ac:dyDescent="0.25">
      <c r="A518" s="129"/>
      <c r="B518" s="41"/>
      <c r="C518" s="41"/>
      <c r="D518" s="41"/>
      <c r="E518" s="48" t="s">
        <v>37</v>
      </c>
      <c r="F518" s="41"/>
      <c r="G518" s="43"/>
      <c r="H518" s="135" t="s">
        <v>14</v>
      </c>
      <c r="I518" s="136"/>
      <c r="J518" s="136"/>
      <c r="K518" s="137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9"/>
      <c r="B519" s="41"/>
      <c r="C519" s="41"/>
      <c r="D519" s="42" t="s">
        <v>23</v>
      </c>
      <c r="E519" s="41"/>
      <c r="F519" s="41"/>
      <c r="G519" s="43"/>
      <c r="H519" s="138" t="s">
        <v>14</v>
      </c>
      <c r="I519" s="136"/>
      <c r="J519" s="136"/>
      <c r="K519" s="137"/>
      <c r="L519" s="47">
        <f t="shared" ref="L519:N519" ca="1" si="374">L520+L521</f>
        <v>33423500</v>
      </c>
      <c r="M519" s="47">
        <f t="shared" ca="1" si="374"/>
        <v>33423500</v>
      </c>
      <c r="N519" s="47">
        <f t="shared" ca="1" si="374"/>
        <v>33423500</v>
      </c>
      <c r="O519" s="47">
        <f t="shared" ca="1" si="363"/>
        <v>100</v>
      </c>
      <c r="P519" s="47">
        <f t="shared" ca="1" si="364"/>
        <v>100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hidden="1" x14ac:dyDescent="0.25">
      <c r="A520" s="129"/>
      <c r="B520" s="41"/>
      <c r="C520" s="41"/>
      <c r="D520" s="41"/>
      <c r="E520" s="48" t="s">
        <v>20</v>
      </c>
      <c r="F520" s="41"/>
      <c r="G520" s="43"/>
      <c r="H520" s="135" t="s">
        <v>14</v>
      </c>
      <c r="I520" s="136"/>
      <c r="J520" s="136"/>
      <c r="K520" s="137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hidden="1" x14ac:dyDescent="0.25">
      <c r="A521" s="129"/>
      <c r="B521" s="41"/>
      <c r="C521" s="41"/>
      <c r="D521" s="41"/>
      <c r="E521" s="48" t="s">
        <v>21</v>
      </c>
      <c r="F521" s="41"/>
      <c r="G521" s="43"/>
      <c r="H521" s="138" t="s">
        <v>14</v>
      </c>
      <c r="I521" s="136"/>
      <c r="J521" s="136"/>
      <c r="K521" s="137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33423500)</f>
        <v>33423500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33423500)</f>
        <v>33423500</v>
      </c>
      <c r="O521" s="47">
        <f t="shared" ca="1" si="363"/>
        <v>100</v>
      </c>
      <c r="P521" s="47">
        <f t="shared" ca="1" si="364"/>
        <v>100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9"/>
      <c r="B522" s="140"/>
      <c r="C522" s="130" t="s">
        <v>18</v>
      </c>
      <c r="D522" s="141" t="s">
        <v>38</v>
      </c>
      <c r="E522" s="142"/>
      <c r="F522" s="142"/>
      <c r="G522" s="143"/>
      <c r="H522" s="144"/>
      <c r="I522" s="136"/>
      <c r="J522" s="45"/>
      <c r="K522" s="46"/>
      <c r="L522" s="46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x14ac:dyDescent="0.25">
      <c r="A523" s="225"/>
      <c r="B523" s="41"/>
      <c r="C523" s="160"/>
      <c r="D523" s="168" t="s">
        <v>212</v>
      </c>
      <c r="E523" s="140"/>
      <c r="F523" s="41"/>
      <c r="G523" s="43"/>
      <c r="H523" s="227" t="s">
        <v>11</v>
      </c>
      <c r="I523" s="153">
        <v>0</v>
      </c>
      <c r="J523" s="153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73"/>
      <c r="B524" s="1"/>
      <c r="C524" s="3"/>
      <c r="D524" s="402" t="s">
        <v>213</v>
      </c>
      <c r="E524" s="275"/>
      <c r="F524" s="1"/>
      <c r="G524" s="53"/>
      <c r="H524" s="403" t="s">
        <v>61</v>
      </c>
      <c r="I524" s="205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205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hidden="1" x14ac:dyDescent="0.2">
      <c r="A525" s="250"/>
      <c r="B525" s="251"/>
      <c r="C525" s="251"/>
      <c r="D525" s="252"/>
      <c r="E525" s="252"/>
      <c r="F525" s="252"/>
      <c r="G525" s="253"/>
      <c r="H525" s="254"/>
      <c r="I525" s="255"/>
      <c r="J525" s="255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357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408">
        <f t="shared" ref="I533:J533" si="377">I544</f>
        <v>0</v>
      </c>
      <c r="J533" s="408">
        <f t="shared" si="377"/>
        <v>0</v>
      </c>
      <c r="K533" s="400">
        <f>IF(I533&gt;0,J533*100/I533,0)</f>
        <v>0</v>
      </c>
      <c r="L533" s="401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x14ac:dyDescent="0.3">
      <c r="A534" s="129"/>
      <c r="B534" s="41"/>
      <c r="C534" s="130" t="s">
        <v>18</v>
      </c>
      <c r="D534" s="131" t="s">
        <v>19</v>
      </c>
      <c r="E534" s="41"/>
      <c r="F534" s="41"/>
      <c r="G534" s="43"/>
      <c r="H534" s="132" t="s">
        <v>14</v>
      </c>
      <c r="I534" s="45"/>
      <c r="J534" s="45"/>
      <c r="K534" s="46"/>
      <c r="L534" s="133">
        <f t="shared" ref="L534:N534" ca="1" si="378">L535+L536</f>
        <v>0</v>
      </c>
      <c r="M534" s="133">
        <f t="shared" ca="1" si="378"/>
        <v>0</v>
      </c>
      <c r="N534" s="133">
        <f t="shared" ca="1" si="378"/>
        <v>0</v>
      </c>
      <c r="O534" s="133">
        <f t="shared" ref="O534:O542" ca="1" si="379">IF(L534&gt;0,N534*100/L534,0)</f>
        <v>0</v>
      </c>
      <c r="P534" s="133">
        <f t="shared" ref="P534:P542" ca="1" si="380">IF(M534&gt;0,N534*100/M534,0)</f>
        <v>0</v>
      </c>
      <c r="Q534" s="133">
        <f t="shared" ref="Q534:S534" ca="1" si="381">Q535+Q536</f>
        <v>0</v>
      </c>
      <c r="R534" s="133">
        <f t="shared" ca="1" si="381"/>
        <v>0</v>
      </c>
      <c r="S534" s="133">
        <f t="shared" ca="1" si="381"/>
        <v>0</v>
      </c>
      <c r="T534" s="133">
        <f t="shared" ref="T534:T542" ca="1" si="382">IF(Q534&gt;0,S534*100/Q534,0)</f>
        <v>0</v>
      </c>
      <c r="U534" s="133">
        <f t="shared" ref="U534:U542" ca="1" si="383">IF(R534&gt;0,S534*100/R534,0)</f>
        <v>0</v>
      </c>
    </row>
    <row r="535" spans="1:21" ht="18.75" hidden="1" x14ac:dyDescent="0.25">
      <c r="A535" s="129"/>
      <c r="B535" s="160"/>
      <c r="C535" s="41"/>
      <c r="D535" s="41"/>
      <c r="E535" s="158" t="s">
        <v>20</v>
      </c>
      <c r="F535" s="41"/>
      <c r="G535" s="43"/>
      <c r="H535" s="159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hidden="1" x14ac:dyDescent="0.25">
      <c r="A536" s="129"/>
      <c r="B536" s="41"/>
      <c r="C536" s="160"/>
      <c r="D536" s="41"/>
      <c r="E536" s="226" t="s">
        <v>21</v>
      </c>
      <c r="F536" s="41"/>
      <c r="G536" s="43"/>
      <c r="H536" s="134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9"/>
      <c r="B537" s="41"/>
      <c r="C537" s="160"/>
      <c r="D537" s="42" t="s">
        <v>22</v>
      </c>
      <c r="E537" s="160"/>
      <c r="F537" s="41"/>
      <c r="G537" s="43"/>
      <c r="H537" s="135" t="s">
        <v>14</v>
      </c>
      <c r="I537" s="136"/>
      <c r="J537" s="136"/>
      <c r="K537" s="137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hidden="1" x14ac:dyDescent="0.25">
      <c r="A538" s="129"/>
      <c r="B538" s="41"/>
      <c r="C538" s="41"/>
      <c r="D538" s="41"/>
      <c r="E538" s="158" t="s">
        <v>36</v>
      </c>
      <c r="F538" s="41"/>
      <c r="G538" s="43"/>
      <c r="H538" s="161" t="s">
        <v>14</v>
      </c>
      <c r="I538" s="136"/>
      <c r="J538" s="136"/>
      <c r="K538" s="137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hidden="1" x14ac:dyDescent="0.25">
      <c r="A539" s="129"/>
      <c r="B539" s="41"/>
      <c r="C539" s="41"/>
      <c r="D539" s="41"/>
      <c r="E539" s="48" t="s">
        <v>37</v>
      </c>
      <c r="F539" s="41"/>
      <c r="G539" s="43"/>
      <c r="H539" s="135" t="s">
        <v>14</v>
      </c>
      <c r="I539" s="136"/>
      <c r="J539" s="136"/>
      <c r="K539" s="137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9"/>
      <c r="B540" s="41"/>
      <c r="C540" s="41"/>
      <c r="D540" s="42" t="s">
        <v>23</v>
      </c>
      <c r="E540" s="41"/>
      <c r="F540" s="41"/>
      <c r="G540" s="43"/>
      <c r="H540" s="138" t="s">
        <v>14</v>
      </c>
      <c r="I540" s="136"/>
      <c r="J540" s="136"/>
      <c r="K540" s="137"/>
      <c r="L540" s="47">
        <f t="shared" ref="L540:N540" ca="1" si="390">L541+L542</f>
        <v>0</v>
      </c>
      <c r="M540" s="47">
        <f t="shared" ca="1" si="390"/>
        <v>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hidden="1" x14ac:dyDescent="0.25">
      <c r="A541" s="129"/>
      <c r="B541" s="41"/>
      <c r="C541" s="41"/>
      <c r="D541" s="41"/>
      <c r="E541" s="158" t="s">
        <v>20</v>
      </c>
      <c r="F541" s="41"/>
      <c r="G541" s="43"/>
      <c r="H541" s="161" t="s">
        <v>14</v>
      </c>
      <c r="I541" s="136"/>
      <c r="J541" s="136"/>
      <c r="K541" s="137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hidden="1" x14ac:dyDescent="0.25">
      <c r="A542" s="129"/>
      <c r="B542" s="41"/>
      <c r="C542" s="41"/>
      <c r="D542" s="41"/>
      <c r="E542" s="48" t="s">
        <v>21</v>
      </c>
      <c r="F542" s="41"/>
      <c r="G542" s="43"/>
      <c r="H542" s="138" t="s">
        <v>14</v>
      </c>
      <c r="I542" s="136"/>
      <c r="J542" s="136"/>
      <c r="K542" s="137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9"/>
      <c r="B543" s="140"/>
      <c r="C543" s="409" t="s">
        <v>18</v>
      </c>
      <c r="D543" s="141" t="s">
        <v>38</v>
      </c>
      <c r="E543" s="142"/>
      <c r="F543" s="142"/>
      <c r="G543" s="143"/>
      <c r="H543" s="144"/>
      <c r="I543" s="136"/>
      <c r="J543" s="45"/>
      <c r="K543" s="46"/>
      <c r="L543" s="46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8.75" x14ac:dyDescent="0.25">
      <c r="A544" s="331"/>
      <c r="B544" s="332"/>
      <c r="C544" s="333"/>
      <c r="D544" s="410" t="s">
        <v>213</v>
      </c>
      <c r="E544" s="333"/>
      <c r="F544" s="332"/>
      <c r="G544" s="335"/>
      <c r="H544" s="411" t="s">
        <v>61</v>
      </c>
      <c r="I544" s="412">
        <v>0</v>
      </c>
      <c r="J544" s="412">
        <v>0</v>
      </c>
      <c r="K544" s="179">
        <f>IF(I544&gt;0,J544*100/I544,0)</f>
        <v>0</v>
      </c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357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408">
        <f t="shared" ref="I554:J554" si="392">I566</f>
        <v>0</v>
      </c>
      <c r="J554" s="408">
        <f t="shared" si="392"/>
        <v>0</v>
      </c>
      <c r="K554" s="400">
        <f>IF(I554&gt;0,J554*100/I554,0)</f>
        <v>0</v>
      </c>
      <c r="L554" s="401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41"/>
      <c r="C555" s="130" t="s">
        <v>18</v>
      </c>
      <c r="D555" s="131" t="s">
        <v>19</v>
      </c>
      <c r="E555" s="41"/>
      <c r="F555" s="41"/>
      <c r="G555" s="43"/>
      <c r="H555" s="132" t="s">
        <v>14</v>
      </c>
      <c r="I555" s="45"/>
      <c r="J555" s="45"/>
      <c r="K555" s="46"/>
      <c r="L555" s="133">
        <f t="shared" ref="L555:N555" ca="1" si="393">L556+L557</f>
        <v>0</v>
      </c>
      <c r="M555" s="133">
        <f t="shared" ca="1" si="393"/>
        <v>63800</v>
      </c>
      <c r="N555" s="133">
        <f t="shared" ca="1" si="393"/>
        <v>0</v>
      </c>
      <c r="O555" s="133">
        <f t="shared" ref="O555:O563" ca="1" si="394">IF(L555&gt;0,N555*100/L555,0)</f>
        <v>0</v>
      </c>
      <c r="P555" s="133">
        <f t="shared" ref="P555:P563" ca="1" si="395">IF(M555&gt;0,N555*100/M555,0)</f>
        <v>0</v>
      </c>
      <c r="Q555" s="133">
        <f t="shared" ref="Q555:S555" ca="1" si="396">Q556+Q557</f>
        <v>0</v>
      </c>
      <c r="R555" s="133">
        <f t="shared" ca="1" si="396"/>
        <v>0</v>
      </c>
      <c r="S555" s="133">
        <f t="shared" ca="1" si="396"/>
        <v>0</v>
      </c>
      <c r="T555" s="133">
        <f t="shared" ref="T555:T563" ca="1" si="397">IF(Q555&gt;0,S555*100/Q555,0)</f>
        <v>0</v>
      </c>
      <c r="U555" s="133">
        <f t="shared" ref="U555:U563" ca="1" si="398">IF(R555&gt;0,S555*100/R555,0)</f>
        <v>0</v>
      </c>
    </row>
    <row r="556" spans="1:21" ht="18.75" hidden="1" x14ac:dyDescent="0.25">
      <c r="A556" s="129"/>
      <c r="B556" s="160"/>
      <c r="C556" s="41"/>
      <c r="D556" s="41"/>
      <c r="E556" s="158" t="s">
        <v>20</v>
      </c>
      <c r="F556" s="41"/>
      <c r="G556" s="43"/>
      <c r="H556" s="159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hidden="1" x14ac:dyDescent="0.25">
      <c r="A557" s="129"/>
      <c r="B557" s="41"/>
      <c r="C557" s="160"/>
      <c r="D557" s="41"/>
      <c r="E557" s="226" t="s">
        <v>21</v>
      </c>
      <c r="F557" s="41"/>
      <c r="G557" s="43"/>
      <c r="H557" s="134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63800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hidden="1" x14ac:dyDescent="0.25">
      <c r="A558" s="129"/>
      <c r="B558" s="41"/>
      <c r="C558" s="160"/>
      <c r="D558" s="42" t="s">
        <v>22</v>
      </c>
      <c r="E558" s="160"/>
      <c r="F558" s="41"/>
      <c r="G558" s="43"/>
      <c r="H558" s="135" t="s">
        <v>14</v>
      </c>
      <c r="I558" s="136"/>
      <c r="J558" s="136"/>
      <c r="K558" s="137"/>
      <c r="L558" s="47">
        <f t="shared" ref="L558:N558" ca="1" si="403">L559+L560</f>
        <v>0</v>
      </c>
      <c r="M558" s="47">
        <f t="shared" ca="1" si="403"/>
        <v>63800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hidden="1" x14ac:dyDescent="0.25">
      <c r="A559" s="129"/>
      <c r="B559" s="41"/>
      <c r="C559" s="41"/>
      <c r="D559" s="41"/>
      <c r="E559" s="158" t="s">
        <v>36</v>
      </c>
      <c r="F559" s="41"/>
      <c r="G559" s="43"/>
      <c r="H559" s="161" t="s">
        <v>14</v>
      </c>
      <c r="I559" s="136"/>
      <c r="J559" s="136"/>
      <c r="K559" s="137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hidden="1" x14ac:dyDescent="0.25">
      <c r="A560" s="129"/>
      <c r="B560" s="41"/>
      <c r="C560" s="41"/>
      <c r="D560" s="41"/>
      <c r="E560" s="48" t="s">
        <v>37</v>
      </c>
      <c r="F560" s="41"/>
      <c r="G560" s="43"/>
      <c r="H560" s="135" t="s">
        <v>14</v>
      </c>
      <c r="I560" s="136"/>
      <c r="J560" s="136"/>
      <c r="K560" s="137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63800)</f>
        <v>63800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hidden="1" x14ac:dyDescent="0.25">
      <c r="A561" s="129"/>
      <c r="B561" s="41"/>
      <c r="C561" s="41"/>
      <c r="D561" s="42" t="s">
        <v>23</v>
      </c>
      <c r="E561" s="41"/>
      <c r="F561" s="41"/>
      <c r="G561" s="43"/>
      <c r="H561" s="138" t="s">
        <v>14</v>
      </c>
      <c r="I561" s="136"/>
      <c r="J561" s="136"/>
      <c r="K561" s="137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hidden="1" x14ac:dyDescent="0.25">
      <c r="A562" s="129"/>
      <c r="B562" s="41"/>
      <c r="C562" s="41"/>
      <c r="D562" s="41"/>
      <c r="E562" s="158" t="s">
        <v>20</v>
      </c>
      <c r="F562" s="41"/>
      <c r="G562" s="43"/>
      <c r="H562" s="161" t="s">
        <v>14</v>
      </c>
      <c r="I562" s="136"/>
      <c r="J562" s="136"/>
      <c r="K562" s="137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hidden="1" x14ac:dyDescent="0.25">
      <c r="A563" s="129"/>
      <c r="B563" s="41"/>
      <c r="C563" s="41"/>
      <c r="D563" s="41"/>
      <c r="E563" s="48" t="s">
        <v>21</v>
      </c>
      <c r="F563" s="41"/>
      <c r="G563" s="43"/>
      <c r="H563" s="138" t="s">
        <v>14</v>
      </c>
      <c r="I563" s="136"/>
      <c r="J563" s="136"/>
      <c r="K563" s="137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hidden="1" x14ac:dyDescent="0.3">
      <c r="A564" s="139"/>
      <c r="B564" s="140"/>
      <c r="C564" s="409" t="s">
        <v>18</v>
      </c>
      <c r="D564" s="141" t="s">
        <v>38</v>
      </c>
      <c r="E564" s="142"/>
      <c r="F564" s="142"/>
      <c r="G564" s="143"/>
      <c r="H564" s="144"/>
      <c r="I564" s="136"/>
      <c r="J564" s="45"/>
      <c r="K564" s="46"/>
      <c r="L564" s="46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357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413" t="s">
        <v>216</v>
      </c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ca="1" si="407">I587</f>
        <v>48</v>
      </c>
      <c r="J575" s="408">
        <f t="shared" ca="1" si="407"/>
        <v>48</v>
      </c>
      <c r="K575" s="400">
        <f ca="1">IF(I575&gt;0,J575*100/I575,0)</f>
        <v>100</v>
      </c>
      <c r="L575" s="401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41"/>
      <c r="C576" s="130" t="s">
        <v>18</v>
      </c>
      <c r="D576" s="131" t="s">
        <v>19</v>
      </c>
      <c r="E576" s="41"/>
      <c r="F576" s="41"/>
      <c r="G576" s="43"/>
      <c r="H576" s="132" t="s">
        <v>14</v>
      </c>
      <c r="I576" s="45"/>
      <c r="J576" s="45"/>
      <c r="K576" s="46"/>
      <c r="L576" s="133">
        <f t="shared" ref="L576:N576" ca="1" si="408">L577+L578</f>
        <v>2615011</v>
      </c>
      <c r="M576" s="133">
        <f t="shared" ca="1" si="408"/>
        <v>2615011</v>
      </c>
      <c r="N576" s="133">
        <f t="shared" ca="1" si="408"/>
        <v>2176483.25</v>
      </c>
      <c r="O576" s="133">
        <f t="shared" ref="O576:O584" ca="1" si="409">IF(L576&gt;0,N576*100/L576,0)</f>
        <v>83.23036690859044</v>
      </c>
      <c r="P576" s="133">
        <f t="shared" ref="P576:P584" ca="1" si="410">IF(M576&gt;0,N576*100/M576,0)</f>
        <v>83.23036690859044</v>
      </c>
      <c r="Q576" s="133">
        <f t="shared" ref="Q576:S576" ca="1" si="411">Q577+Q578</f>
        <v>0</v>
      </c>
      <c r="R576" s="133">
        <f t="shared" ca="1" si="411"/>
        <v>0</v>
      </c>
      <c r="S576" s="133">
        <f t="shared" ca="1" si="411"/>
        <v>0</v>
      </c>
      <c r="T576" s="133">
        <f t="shared" ref="T576:T584" ca="1" si="412">IF(Q576&gt;0,S576*100/Q576,0)</f>
        <v>0</v>
      </c>
      <c r="U576" s="133">
        <f t="shared" ref="U576:U584" ca="1" si="413">IF(R576&gt;0,S576*100/R576,0)</f>
        <v>0</v>
      </c>
    </row>
    <row r="577" spans="1:21" ht="18.75" hidden="1" x14ac:dyDescent="0.25">
      <c r="A577" s="129"/>
      <c r="B577" s="160"/>
      <c r="C577" s="41"/>
      <c r="D577" s="41"/>
      <c r="E577" s="158" t="s">
        <v>20</v>
      </c>
      <c r="F577" s="41"/>
      <c r="G577" s="43"/>
      <c r="H577" s="159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hidden="1" x14ac:dyDescent="0.25">
      <c r="A578" s="129"/>
      <c r="B578" s="41"/>
      <c r="C578" s="160"/>
      <c r="D578" s="41"/>
      <c r="E578" s="226" t="s">
        <v>21</v>
      </c>
      <c r="F578" s="41"/>
      <c r="G578" s="43"/>
      <c r="H578" s="134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2615011</v>
      </c>
      <c r="N578" s="47">
        <f t="shared" ca="1" si="416"/>
        <v>2176483.25</v>
      </c>
      <c r="O578" s="47">
        <f t="shared" ca="1" si="409"/>
        <v>83.23036690859044</v>
      </c>
      <c r="P578" s="47">
        <f t="shared" ca="1" si="410"/>
        <v>83.23036690859044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9"/>
      <c r="B579" s="41"/>
      <c r="C579" s="160"/>
      <c r="D579" s="42" t="s">
        <v>22</v>
      </c>
      <c r="E579" s="160"/>
      <c r="F579" s="41"/>
      <c r="G579" s="43"/>
      <c r="H579" s="135" t="s">
        <v>14</v>
      </c>
      <c r="I579" s="136"/>
      <c r="J579" s="136"/>
      <c r="K579" s="137"/>
      <c r="L579" s="47">
        <f t="shared" ref="L579:N579" ca="1" si="418">L580+L581</f>
        <v>2615011</v>
      </c>
      <c r="M579" s="47">
        <f t="shared" ca="1" si="418"/>
        <v>2615011</v>
      </c>
      <c r="N579" s="47">
        <f t="shared" ca="1" si="418"/>
        <v>2176483.25</v>
      </c>
      <c r="O579" s="47">
        <f t="shared" ca="1" si="409"/>
        <v>83.23036690859044</v>
      </c>
      <c r="P579" s="47">
        <f t="shared" ca="1" si="410"/>
        <v>83.23036690859044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hidden="1" x14ac:dyDescent="0.25">
      <c r="A580" s="129"/>
      <c r="B580" s="41"/>
      <c r="C580" s="41"/>
      <c r="D580" s="41"/>
      <c r="E580" s="158" t="s">
        <v>36</v>
      </c>
      <c r="F580" s="41"/>
      <c r="G580" s="43"/>
      <c r="H580" s="161" t="s">
        <v>14</v>
      </c>
      <c r="I580" s="136"/>
      <c r="J580" s="136"/>
      <c r="K580" s="137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hidden="1" x14ac:dyDescent="0.25">
      <c r="A581" s="129"/>
      <c r="B581" s="41"/>
      <c r="C581" s="41"/>
      <c r="D581" s="41"/>
      <c r="E581" s="48" t="s">
        <v>37</v>
      </c>
      <c r="F581" s="41"/>
      <c r="G581" s="43"/>
      <c r="H581" s="135" t="s">
        <v>14</v>
      </c>
      <c r="I581" s="136"/>
      <c r="J581" s="136"/>
      <c r="K581" s="137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2615011)</f>
        <v>2615011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2176483.25)</f>
        <v>2176483.25</v>
      </c>
      <c r="O581" s="47">
        <f t="shared" ca="1" si="409"/>
        <v>83.23036690859044</v>
      </c>
      <c r="P581" s="47">
        <f t="shared" ca="1" si="410"/>
        <v>83.23036690859044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9"/>
      <c r="B582" s="41"/>
      <c r="C582" s="41"/>
      <c r="D582" s="42" t="s">
        <v>23</v>
      </c>
      <c r="E582" s="41"/>
      <c r="F582" s="41"/>
      <c r="G582" s="43"/>
      <c r="H582" s="138" t="s">
        <v>14</v>
      </c>
      <c r="I582" s="136"/>
      <c r="J582" s="136"/>
      <c r="K582" s="137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hidden="1" x14ac:dyDescent="0.25">
      <c r="A583" s="129"/>
      <c r="B583" s="41"/>
      <c r="C583" s="41"/>
      <c r="D583" s="41"/>
      <c r="E583" s="158" t="s">
        <v>20</v>
      </c>
      <c r="F583" s="41"/>
      <c r="G583" s="43"/>
      <c r="H583" s="161" t="s">
        <v>14</v>
      </c>
      <c r="I583" s="136"/>
      <c r="J583" s="136"/>
      <c r="K583" s="137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hidden="1" x14ac:dyDescent="0.25">
      <c r="A584" s="129"/>
      <c r="B584" s="41"/>
      <c r="C584" s="41"/>
      <c r="D584" s="41"/>
      <c r="E584" s="48" t="s">
        <v>21</v>
      </c>
      <c r="F584" s="41"/>
      <c r="G584" s="43"/>
      <c r="H584" s="138" t="s">
        <v>14</v>
      </c>
      <c r="I584" s="136"/>
      <c r="J584" s="136"/>
      <c r="K584" s="137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9"/>
      <c r="B585" s="140"/>
      <c r="C585" s="409" t="s">
        <v>18</v>
      </c>
      <c r="D585" s="141" t="s">
        <v>38</v>
      </c>
      <c r="E585" s="142"/>
      <c r="F585" s="142"/>
      <c r="G585" s="143"/>
      <c r="H585" s="144"/>
      <c r="I585" s="136"/>
      <c r="J585" s="45"/>
      <c r="K585" s="46"/>
      <c r="L585" s="46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338">
        <f ca="1">IFERROR(__xludf.DUMMYFUNCTION("IMPORTRANGE(""https://docs.google.com/spreadsheets/d/1kKUcYdkIfrgTSj8iHHHB2MD2FAtwyyocFgqGQn6ADyI/edit?usp=sharing"",""กระบี่!I586"")+IMPORTRANGE(""https://docs.google.com/spreadsheets/d/1GwtLaSlNZkLk7iDqcyZz22giiy40b_usZZBXYciEN1U/edit?usp=sharing"",""ชุ"&amp;"มพร!I586"")+IMPORTRANGE(""https://docs.google.com/spreadsheets/d/1Dj4jcHCTV9JXKCaMoheSXS52JE63kDKyG7bPXnFogHk/edit?usp=sharing"",""นครศรีธรรมราช!I586"")+IMPORTRANGE(""https://docs.google.com/spreadsheets/d/17ht0gPKzzT3PObBL1XJkeRmntBXI7wGjpLV7QorqlTk/edit"&amp;"?usp=sharing"",""พัทลุง!I586"")+IMPORTRANGE(""https://docs.google.com/spreadsheets/d/18T20gbkS_WBjdscyTOV05cvq_JqvqQ17C81mpxf7Ncs/edit?usp=sharing"",""สุราษฎร์ธานี!I586"")"),12)</f>
        <v>12</v>
      </c>
      <c r="J586" s="178">
        <f ca="1">IFERROR(__xludf.DUMMYFUNCTION("IMPORTRANGE(""https://docs.google.com/spreadsheets/d/1kKUcYdkIfrgTSj8iHHHB2MD2FAtwyyocFgqGQn6ADyI/edit?usp=sharing"",""กระบี่!J586"")+IMPORTRANGE(""https://docs.google.com/spreadsheets/d/1GwtLaSlNZkLk7iDqcyZz22giiy40b_usZZBXYciEN1U/edit?usp=sharing"",""ชุ"&amp;"มพร!J586"")+IMPORTRANGE(""https://docs.google.com/spreadsheets/d/1Dj4jcHCTV9JXKCaMoheSXS52JE63kDKyG7bPXnFogHk/edit?usp=sharing"",""นครศรีธรรมราช!J586"")+IMPORTRANGE(""https://docs.google.com/spreadsheets/d/17ht0gPKzzT3PObBL1XJkeRmntBXI7wGjpLV7QorqlTk/edit"&amp;"?usp=sharing"",""พัทลุง!J586"")+IMPORTRANGE(""https://docs.google.com/spreadsheets/d/18T20gbkS_WBjdscyTOV05cvq_JqvqQ17C81mpxf7Ncs/edit?usp=sharing"",""สุราษฎร์ธานี!J586"")"),5)</f>
        <v>5</v>
      </c>
      <c r="K586" s="179">
        <f t="shared" ref="K586:K587" ca="1" si="422">IF(I586&gt;0,J586*100/I586,0)</f>
        <v>41.666666666666664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41"/>
      <c r="C587" s="160"/>
      <c r="D587" s="48" t="s">
        <v>219</v>
      </c>
      <c r="E587" s="160"/>
      <c r="F587" s="41"/>
      <c r="G587" s="43"/>
      <c r="H587" s="44" t="s">
        <v>61</v>
      </c>
      <c r="I587" s="153">
        <f ca="1">IFERROR(__xludf.DUMMYFUNCTION("IMPORTRANGE(""https://docs.google.com/spreadsheets/d/1kKUcYdkIfrgTSj8iHHHB2MD2FAtwyyocFgqGQn6ADyI/edit?usp=sharing"",""กระบี่!I587"")+IMPORTRANGE(""https://docs.google.com/spreadsheets/d/1GwtLaSlNZkLk7iDqcyZz22giiy40b_usZZBXYciEN1U/edit?usp=sharing"",""ชุ"&amp;"มพร!I587"")+IMPORTRANGE(""https://docs.google.com/spreadsheets/d/1Dj4jcHCTV9JXKCaMoheSXS52JE63kDKyG7bPXnFogHk/edit?usp=sharing"",""นครศรีธรรมราช!I587"")+IMPORTRANGE(""https://docs.google.com/spreadsheets/d/17ht0gPKzzT3PObBL1XJkeRmntBXI7wGjpLV7QorqlTk/edit"&amp;"?usp=sharing"",""พัทลุง!I587"")+IMPORTRANGE(""https://docs.google.com/spreadsheets/d/18T20gbkS_WBjdscyTOV05cvq_JqvqQ17C81mpxf7Ncs/edit?usp=sharing"",""สุราษฎร์ธานี!I587"")"),48)</f>
        <v>48</v>
      </c>
      <c r="J587" s="169">
        <f ca="1">IFERROR(__xludf.DUMMYFUNCTION("IMPORTRANGE(""https://docs.google.com/spreadsheets/d/1kKUcYdkIfrgTSj8iHHHB2MD2FAtwyyocFgqGQn6ADyI/edit?usp=sharing"",""กระบี่!J587"")+IMPORTRANGE(""https://docs.google.com/spreadsheets/d/1GwtLaSlNZkLk7iDqcyZz22giiy40b_usZZBXYciEN1U/edit?usp=sharing"",""ชุ"&amp;"มพร!J587"")+IMPORTRANGE(""https://docs.google.com/spreadsheets/d/1Dj4jcHCTV9JXKCaMoheSXS52JE63kDKyG7bPXnFogHk/edit?usp=sharing"",""นครศรีธรรมราช!J587"")+IMPORTRANGE(""https://docs.google.com/spreadsheets/d/17ht0gPKzzT3PObBL1XJkeRmntBXI7wGjpLV7QorqlTk/edit"&amp;"?usp=sharing"",""พัทลุง!J587"")+IMPORTRANGE(""https://docs.google.com/spreadsheets/d/18T20gbkS_WBjdscyTOV05cvq_JqvqQ17C81mpxf7Ncs/edit?usp=sharing"",""สุราษฎร์ธานี!J587"")"),48)</f>
        <v>48</v>
      </c>
      <c r="K587" s="47">
        <f t="shared" ca="1" si="422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357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431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431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37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441">
        <f t="shared" ref="L599:N599" ca="1" si="423">L600+L601</f>
        <v>69050</v>
      </c>
      <c r="M599" s="441">
        <f t="shared" ca="1" si="423"/>
        <v>69050</v>
      </c>
      <c r="N599" s="441">
        <f t="shared" ca="1" si="423"/>
        <v>45952</v>
      </c>
      <c r="O599" s="441">
        <f t="shared" ref="O599:O607" ca="1" si="424">IF(L599&gt;0,N599*100/L599,0)</f>
        <v>66.54887762490948</v>
      </c>
      <c r="P599" s="441">
        <f t="shared" ref="P599:P607" ca="1" si="425">IF(M599&gt;0,N599*100/M599,0)</f>
        <v>66.54887762490948</v>
      </c>
      <c r="Q599" s="441">
        <f t="shared" ref="Q599:S599" ca="1" si="426">Q600+Q601</f>
        <v>0</v>
      </c>
      <c r="R599" s="441">
        <f t="shared" ca="1" si="426"/>
        <v>0</v>
      </c>
      <c r="S599" s="441">
        <f t="shared" ca="1" si="426"/>
        <v>0</v>
      </c>
      <c r="T599" s="441">
        <f t="shared" ref="T599:T607" ca="1" si="427">IF(Q599&gt;0,S599*100/Q599,0)</f>
        <v>0</v>
      </c>
      <c r="U599" s="441">
        <f t="shared" ref="U599:U607" ca="1" si="428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352">
        <f t="shared" ref="L600:N600" ca="1" si="429">L603+L606</f>
        <v>0</v>
      </c>
      <c r="M600" s="352">
        <f t="shared" ca="1" si="429"/>
        <v>0</v>
      </c>
      <c r="N600" s="352">
        <f t="shared" ca="1" si="429"/>
        <v>0</v>
      </c>
      <c r="O600" s="352">
        <f t="shared" ca="1" si="424"/>
        <v>0</v>
      </c>
      <c r="P600" s="352">
        <f t="shared" ca="1" si="425"/>
        <v>0</v>
      </c>
      <c r="Q600" s="352">
        <f t="shared" ref="Q600:S600" ca="1" si="430">Q603+Q606</f>
        <v>0</v>
      </c>
      <c r="R600" s="352">
        <f t="shared" ca="1" si="430"/>
        <v>0</v>
      </c>
      <c r="S600" s="352">
        <f t="shared" ca="1" si="430"/>
        <v>0</v>
      </c>
      <c r="T600" s="352">
        <f t="shared" ca="1" si="427"/>
        <v>0</v>
      </c>
      <c r="U600" s="352">
        <f t="shared" ca="1" si="428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352">
        <f t="shared" ref="L601:N601" ca="1" si="431">L604+L607</f>
        <v>69050</v>
      </c>
      <c r="M601" s="352">
        <f t="shared" ca="1" si="431"/>
        <v>69050</v>
      </c>
      <c r="N601" s="352">
        <f t="shared" ca="1" si="431"/>
        <v>45952</v>
      </c>
      <c r="O601" s="352">
        <f t="shared" ca="1" si="424"/>
        <v>66.54887762490948</v>
      </c>
      <c r="P601" s="352">
        <f t="shared" ca="1" si="425"/>
        <v>66.54887762490948</v>
      </c>
      <c r="Q601" s="352">
        <f t="shared" ref="Q601:S601" ca="1" si="432">Q604+Q607</f>
        <v>0</v>
      </c>
      <c r="R601" s="352">
        <f t="shared" ca="1" si="432"/>
        <v>0</v>
      </c>
      <c r="S601" s="352">
        <f t="shared" ca="1" si="432"/>
        <v>0</v>
      </c>
      <c r="T601" s="352">
        <f t="shared" ca="1" si="427"/>
        <v>0</v>
      </c>
      <c r="U601" s="352">
        <f t="shared" ca="1" si="428"/>
        <v>0</v>
      </c>
    </row>
    <row r="602" spans="1:21" ht="19.5" x14ac:dyDescent="0.3">
      <c r="A602" s="436"/>
      <c r="B602" s="347"/>
      <c r="C602" s="347"/>
      <c r="D602" s="447" t="s">
        <v>22</v>
      </c>
      <c r="E602" s="444"/>
      <c r="F602" s="444"/>
      <c r="G602" s="445"/>
      <c r="H602" s="439" t="s">
        <v>14</v>
      </c>
      <c r="I602" s="448"/>
      <c r="J602" s="448"/>
      <c r="K602" s="449"/>
      <c r="L602" s="352">
        <f t="shared" ref="L602:N602" ca="1" si="433">L603+L604</f>
        <v>69050</v>
      </c>
      <c r="M602" s="352">
        <f t="shared" ca="1" si="433"/>
        <v>69050</v>
      </c>
      <c r="N602" s="352">
        <f t="shared" ca="1" si="433"/>
        <v>45952</v>
      </c>
      <c r="O602" s="352">
        <f t="shared" ca="1" si="424"/>
        <v>66.54887762490948</v>
      </c>
      <c r="P602" s="352">
        <f t="shared" ca="1" si="425"/>
        <v>66.54887762490948</v>
      </c>
      <c r="Q602" s="352">
        <f t="shared" ref="Q602:S602" ca="1" si="434">Q603+Q604</f>
        <v>0</v>
      </c>
      <c r="R602" s="352">
        <f t="shared" ca="1" si="434"/>
        <v>0</v>
      </c>
      <c r="S602" s="352">
        <f t="shared" ca="1" si="434"/>
        <v>0</v>
      </c>
      <c r="T602" s="352">
        <f t="shared" ca="1" si="427"/>
        <v>0</v>
      </c>
      <c r="U602" s="352">
        <f t="shared" ca="1" si="428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352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352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352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352">
        <f t="shared" ca="1" si="424"/>
        <v>0</v>
      </c>
      <c r="P603" s="352">
        <f t="shared" ca="1" si="425"/>
        <v>0</v>
      </c>
      <c r="Q603" s="352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352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352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352">
        <f t="shared" ca="1" si="427"/>
        <v>0</v>
      </c>
      <c r="U603" s="352">
        <f t="shared" ca="1" si="428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352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352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69050)</f>
        <v>69050</v>
      </c>
      <c r="N604" s="352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45952)</f>
        <v>45952</v>
      </c>
      <c r="O604" s="352">
        <f t="shared" ca="1" si="424"/>
        <v>66.54887762490948</v>
      </c>
      <c r="P604" s="352">
        <f t="shared" ca="1" si="425"/>
        <v>66.54887762490948</v>
      </c>
      <c r="Q604" s="352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352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352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352">
        <f t="shared" ca="1" si="427"/>
        <v>0</v>
      </c>
      <c r="U604" s="352">
        <f t="shared" ca="1" si="428"/>
        <v>0</v>
      </c>
    </row>
    <row r="605" spans="1:21" ht="19.5" x14ac:dyDescent="0.3">
      <c r="A605" s="436"/>
      <c r="B605" s="347"/>
      <c r="C605" s="347"/>
      <c r="D605" s="447" t="s">
        <v>23</v>
      </c>
      <c r="E605" s="347"/>
      <c r="F605" s="444"/>
      <c r="G605" s="445"/>
      <c r="H605" s="450" t="s">
        <v>14</v>
      </c>
      <c r="I605" s="448"/>
      <c r="J605" s="448"/>
      <c r="K605" s="449"/>
      <c r="L605" s="352">
        <f t="shared" ref="L605:N605" ca="1" si="435">L606+L607</f>
        <v>0</v>
      </c>
      <c r="M605" s="352">
        <f t="shared" ca="1" si="435"/>
        <v>0</v>
      </c>
      <c r="N605" s="352">
        <f t="shared" ca="1" si="435"/>
        <v>0</v>
      </c>
      <c r="O605" s="352">
        <f t="shared" ca="1" si="424"/>
        <v>0</v>
      </c>
      <c r="P605" s="352">
        <f t="shared" ca="1" si="425"/>
        <v>0</v>
      </c>
      <c r="Q605" s="352">
        <f t="shared" ref="Q605:S605" ca="1" si="436">Q606+Q607</f>
        <v>0</v>
      </c>
      <c r="R605" s="352">
        <f t="shared" ca="1" si="436"/>
        <v>0</v>
      </c>
      <c r="S605" s="352">
        <f t="shared" ca="1" si="436"/>
        <v>0</v>
      </c>
      <c r="T605" s="352">
        <f t="shared" ca="1" si="427"/>
        <v>0</v>
      </c>
      <c r="U605" s="352">
        <f t="shared" ca="1" si="428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352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352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352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352">
        <f t="shared" ca="1" si="424"/>
        <v>0</v>
      </c>
      <c r="P606" s="352">
        <f t="shared" ca="1" si="425"/>
        <v>0</v>
      </c>
      <c r="Q606" s="352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352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352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352">
        <f t="shared" ca="1" si="427"/>
        <v>0</v>
      </c>
      <c r="U606" s="352">
        <f t="shared" ca="1" si="428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352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352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352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352">
        <f t="shared" ca="1" si="424"/>
        <v>0</v>
      </c>
      <c r="P607" s="352">
        <f t="shared" ca="1" si="425"/>
        <v>0</v>
      </c>
      <c r="Q607" s="352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352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352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352">
        <f t="shared" ca="1" si="427"/>
        <v>0</v>
      </c>
      <c r="U607" s="352">
        <f t="shared" ca="1" si="428"/>
        <v>0</v>
      </c>
    </row>
    <row r="608" spans="1:21" ht="19.5" hidden="1" x14ac:dyDescent="0.3">
      <c r="A608" s="452"/>
      <c r="B608" s="453"/>
      <c r="C608" s="437" t="s">
        <v>18</v>
      </c>
      <c r="D608" s="454" t="s">
        <v>38</v>
      </c>
      <c r="E608" s="455"/>
      <c r="F608" s="455"/>
      <c r="G608" s="456"/>
      <c r="H608" s="457"/>
      <c r="I608" s="448"/>
      <c r="J608" s="448"/>
      <c r="K608" s="449"/>
      <c r="L608" s="353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hidden="1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353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hidden="1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353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hidden="1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353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8.75" hidden="1" x14ac:dyDescent="0.25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468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475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476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482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483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437">I626</f>
        <v>550</v>
      </c>
      <c r="J615" s="488">
        <f t="shared" ca="1" si="437"/>
        <v>0</v>
      </c>
      <c r="K615" s="489">
        <f ca="1">IF(I615&gt;0,J615*100/I615,0)</f>
        <v>0</v>
      </c>
      <c r="L615" s="49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191" t="s">
        <v>18</v>
      </c>
      <c r="D616" s="554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133">
        <f t="shared" ref="L616:N616" ca="1" si="438">L617+L618</f>
        <v>0</v>
      </c>
      <c r="M616" s="133">
        <f t="shared" ca="1" si="438"/>
        <v>0</v>
      </c>
      <c r="N616" s="133">
        <f t="shared" ca="1" si="438"/>
        <v>0</v>
      </c>
      <c r="O616" s="133">
        <f t="shared" ref="O616:O624" ca="1" si="439">IF(L616&gt;0,N616*100/L616,0)</f>
        <v>0</v>
      </c>
      <c r="P616" s="133">
        <f t="shared" ref="P616:P624" ca="1" si="440">IF(M616&gt;0,N616*100/M616,0)</f>
        <v>0</v>
      </c>
      <c r="Q616" s="133">
        <f t="shared" ref="Q616:S616" ca="1" si="441">Q617+Q618</f>
        <v>83175</v>
      </c>
      <c r="R616" s="133">
        <f t="shared" ca="1" si="441"/>
        <v>59160</v>
      </c>
      <c r="S616" s="133">
        <f t="shared" ca="1" si="441"/>
        <v>27924</v>
      </c>
      <c r="T616" s="133">
        <f t="shared" ref="T616:T624" ca="1" si="442">IF(Q616&gt;0,S616*100/Q616,0)</f>
        <v>33.572587917042384</v>
      </c>
      <c r="U616" s="133">
        <f t="shared" ref="U616:U624" ca="1" si="443">IF(R616&gt;0,S616*100/R616,0)</f>
        <v>47.200811359026368</v>
      </c>
    </row>
    <row r="617" spans="1:21" ht="18.75" hidden="1" x14ac:dyDescent="0.25">
      <c r="A617" s="129"/>
      <c r="B617" s="160"/>
      <c r="C617" s="160"/>
      <c r="D617" s="146"/>
      <c r="E617" s="158" t="s">
        <v>162</v>
      </c>
      <c r="F617" s="41"/>
      <c r="G617" s="43"/>
      <c r="H617" s="161" t="s">
        <v>14</v>
      </c>
      <c r="I617" s="45"/>
      <c r="J617" s="45"/>
      <c r="K617" s="46"/>
      <c r="L617" s="49">
        <f t="shared" ref="L617:N617" ca="1" si="444">L620+L623</f>
        <v>0</v>
      </c>
      <c r="M617" s="49">
        <f t="shared" ca="1" si="444"/>
        <v>0</v>
      </c>
      <c r="N617" s="49">
        <f t="shared" ca="1" si="444"/>
        <v>0</v>
      </c>
      <c r="O617" s="49">
        <f t="shared" ca="1" si="439"/>
        <v>0</v>
      </c>
      <c r="P617" s="49">
        <f t="shared" ca="1" si="440"/>
        <v>0</v>
      </c>
      <c r="Q617" s="49">
        <f t="shared" ref="Q617:S617" ca="1" si="445">Q620+Q623</f>
        <v>0</v>
      </c>
      <c r="R617" s="49">
        <f t="shared" ca="1" si="445"/>
        <v>0</v>
      </c>
      <c r="S617" s="49">
        <f t="shared" ca="1" si="445"/>
        <v>0</v>
      </c>
      <c r="T617" s="49">
        <f t="shared" ca="1" si="442"/>
        <v>0</v>
      </c>
      <c r="U617" s="49">
        <f t="shared" ca="1" si="443"/>
        <v>0</v>
      </c>
    </row>
    <row r="618" spans="1:21" ht="18.75" hidden="1" x14ac:dyDescent="0.25">
      <c r="A618" s="129"/>
      <c r="B618" s="160"/>
      <c r="C618" s="160"/>
      <c r="D618" s="146"/>
      <c r="E618" s="48" t="s">
        <v>163</v>
      </c>
      <c r="F618" s="41"/>
      <c r="G618" s="43"/>
      <c r="H618" s="135" t="s">
        <v>14</v>
      </c>
      <c r="I618" s="45"/>
      <c r="J618" s="45"/>
      <c r="K618" s="46"/>
      <c r="L618" s="47">
        <f t="shared" ref="L618:N618" ca="1" si="446">L621+L624</f>
        <v>0</v>
      </c>
      <c r="M618" s="47">
        <f t="shared" ca="1" si="446"/>
        <v>0</v>
      </c>
      <c r="N618" s="47">
        <f t="shared" ca="1" si="446"/>
        <v>0</v>
      </c>
      <c r="O618" s="47">
        <f t="shared" ca="1" si="439"/>
        <v>0</v>
      </c>
      <c r="P618" s="47">
        <f t="shared" ca="1" si="440"/>
        <v>0</v>
      </c>
      <c r="Q618" s="47">
        <f t="shared" ref="Q618:S618" ca="1" si="447">Q621+Q624</f>
        <v>83175</v>
      </c>
      <c r="R618" s="47">
        <f t="shared" ca="1" si="447"/>
        <v>59160</v>
      </c>
      <c r="S618" s="47">
        <f t="shared" ca="1" si="447"/>
        <v>27924</v>
      </c>
      <c r="T618" s="47">
        <f t="shared" ca="1" si="442"/>
        <v>33.572587917042384</v>
      </c>
      <c r="U618" s="47">
        <f t="shared" ca="1" si="443"/>
        <v>47.200811359026368</v>
      </c>
    </row>
    <row r="619" spans="1:21" ht="18.75" x14ac:dyDescent="0.25">
      <c r="A619" s="129"/>
      <c r="B619" s="160"/>
      <c r="C619" s="160"/>
      <c r="D619" s="42" t="s">
        <v>22</v>
      </c>
      <c r="E619" s="41"/>
      <c r="F619" s="41"/>
      <c r="G619" s="43"/>
      <c r="H619" s="135" t="s">
        <v>14</v>
      </c>
      <c r="I619" s="136"/>
      <c r="J619" s="136"/>
      <c r="K619" s="137"/>
      <c r="L619" s="47">
        <f t="shared" ref="L619:N619" ca="1" si="448">L620+L621</f>
        <v>0</v>
      </c>
      <c r="M619" s="47">
        <f t="shared" ca="1" si="448"/>
        <v>0</v>
      </c>
      <c r="N619" s="47">
        <f t="shared" ca="1" si="448"/>
        <v>0</v>
      </c>
      <c r="O619" s="47">
        <f t="shared" ca="1" si="439"/>
        <v>0</v>
      </c>
      <c r="P619" s="47">
        <f t="shared" ca="1" si="440"/>
        <v>0</v>
      </c>
      <c r="Q619" s="47">
        <f t="shared" ref="Q619:S619" ca="1" si="449">Q620+Q621</f>
        <v>83175</v>
      </c>
      <c r="R619" s="47">
        <f t="shared" ca="1" si="449"/>
        <v>59160</v>
      </c>
      <c r="S619" s="47">
        <f t="shared" ca="1" si="449"/>
        <v>27924</v>
      </c>
      <c r="T619" s="47">
        <f t="shared" ca="1" si="442"/>
        <v>33.572587917042384</v>
      </c>
      <c r="U619" s="47">
        <f t="shared" ca="1" si="443"/>
        <v>47.200811359026368</v>
      </c>
    </row>
    <row r="620" spans="1:21" ht="18.75" hidden="1" x14ac:dyDescent="0.25">
      <c r="A620" s="129"/>
      <c r="B620" s="160"/>
      <c r="C620" s="160"/>
      <c r="D620" s="146"/>
      <c r="E620" s="158" t="s">
        <v>162</v>
      </c>
      <c r="F620" s="41"/>
      <c r="G620" s="43"/>
      <c r="H620" s="161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9"/>
        <v>0</v>
      </c>
      <c r="P620" s="49">
        <f t="shared" ca="1" si="440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2"/>
        <v>0</v>
      </c>
      <c r="U620" s="49">
        <f t="shared" ca="1" si="443"/>
        <v>0</v>
      </c>
    </row>
    <row r="621" spans="1:21" ht="18.75" hidden="1" x14ac:dyDescent="0.25">
      <c r="A621" s="129"/>
      <c r="B621" s="160"/>
      <c r="C621" s="160"/>
      <c r="D621" s="146"/>
      <c r="E621" s="48" t="s">
        <v>163</v>
      </c>
      <c r="F621" s="41"/>
      <c r="G621" s="43"/>
      <c r="H621" s="135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9"/>
        <v>0</v>
      </c>
      <c r="P621" s="47">
        <f t="shared" ca="1" si="440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59160)</f>
        <v>59160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27924)</f>
        <v>27924</v>
      </c>
      <c r="T621" s="47">
        <f t="shared" ca="1" si="442"/>
        <v>33.572587917042384</v>
      </c>
      <c r="U621" s="47">
        <f t="shared" ca="1" si="443"/>
        <v>47.200811359026368</v>
      </c>
    </row>
    <row r="622" spans="1:21" ht="18.75" x14ac:dyDescent="0.25">
      <c r="A622" s="129"/>
      <c r="B622" s="160"/>
      <c r="C622" s="160"/>
      <c r="D622" s="42" t="s">
        <v>23</v>
      </c>
      <c r="E622" s="41"/>
      <c r="F622" s="41"/>
      <c r="G622" s="43"/>
      <c r="H622" s="138" t="s">
        <v>14</v>
      </c>
      <c r="I622" s="136"/>
      <c r="J622" s="136"/>
      <c r="K622" s="137"/>
      <c r="L622" s="47">
        <f t="shared" ref="L622:N622" ca="1" si="450">L623+L624</f>
        <v>0</v>
      </c>
      <c r="M622" s="47">
        <f t="shared" ca="1" si="450"/>
        <v>0</v>
      </c>
      <c r="N622" s="47">
        <f t="shared" ca="1" si="450"/>
        <v>0</v>
      </c>
      <c r="O622" s="47">
        <f t="shared" ca="1" si="439"/>
        <v>0</v>
      </c>
      <c r="P622" s="47">
        <f t="shared" ca="1" si="440"/>
        <v>0</v>
      </c>
      <c r="Q622" s="47">
        <f t="shared" ref="Q622:S622" ca="1" si="451">Q623+Q624</f>
        <v>0</v>
      </c>
      <c r="R622" s="47">
        <f t="shared" ca="1" si="451"/>
        <v>0</v>
      </c>
      <c r="S622" s="47">
        <f t="shared" ca="1" si="451"/>
        <v>0</v>
      </c>
      <c r="T622" s="47">
        <f t="shared" ca="1" si="442"/>
        <v>0</v>
      </c>
      <c r="U622" s="47">
        <f t="shared" ca="1" si="443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41"/>
      <c r="G623" s="43"/>
      <c r="H623" s="161" t="s">
        <v>14</v>
      </c>
      <c r="I623" s="136"/>
      <c r="J623" s="136"/>
      <c r="K623" s="137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9"/>
        <v>0</v>
      </c>
      <c r="P623" s="49">
        <f t="shared" ca="1" si="440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2"/>
        <v>0</v>
      </c>
      <c r="U623" s="49">
        <f t="shared" ca="1" si="443"/>
        <v>0</v>
      </c>
    </row>
    <row r="624" spans="1:21" ht="18.75" hidden="1" x14ac:dyDescent="0.25">
      <c r="A624" s="129"/>
      <c r="B624" s="160"/>
      <c r="C624" s="160"/>
      <c r="D624" s="160"/>
      <c r="E624" s="48" t="s">
        <v>21</v>
      </c>
      <c r="F624" s="41"/>
      <c r="G624" s="43"/>
      <c r="H624" s="138" t="s">
        <v>14</v>
      </c>
      <c r="I624" s="136"/>
      <c r="J624" s="136"/>
      <c r="K624" s="137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9"/>
        <v>0</v>
      </c>
      <c r="P624" s="47">
        <f t="shared" ca="1" si="440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2"/>
        <v>0</v>
      </c>
      <c r="U624" s="47">
        <f t="shared" ca="1" si="443"/>
        <v>0</v>
      </c>
    </row>
    <row r="625" spans="1:21" ht="19.5" x14ac:dyDescent="0.3">
      <c r="A625" s="139"/>
      <c r="B625" s="140"/>
      <c r="C625" s="191" t="s">
        <v>18</v>
      </c>
      <c r="D625" s="491" t="s">
        <v>38</v>
      </c>
      <c r="E625" s="142"/>
      <c r="F625" s="142"/>
      <c r="G625" s="143"/>
      <c r="H625" s="192"/>
      <c r="I625" s="136"/>
      <c r="J625" s="136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46"/>
      <c r="F626" s="146"/>
      <c r="G626" s="144"/>
      <c r="H626" s="493" t="s">
        <v>46</v>
      </c>
      <c r="I626" s="148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8">
        <f ca="1">J632</f>
        <v>0</v>
      </c>
      <c r="K626" s="133">
        <f ca="1">IF(I626&gt;0,J626*100/I626,0)</f>
        <v>0</v>
      </c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168" t="s">
        <v>231</v>
      </c>
      <c r="F627" s="146"/>
      <c r="G627" s="144"/>
      <c r="H627" s="138" t="s">
        <v>61</v>
      </c>
      <c r="I627" s="153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9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23)</f>
        <v>23</v>
      </c>
      <c r="K627" s="47">
        <f t="shared" ref="K627:K628" ca="1" si="452">IF(I627&gt;0,(J627*100)/I627,0)</f>
        <v>255.55555555555554</v>
      </c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168" t="s">
        <v>232</v>
      </c>
      <c r="F628" s="146"/>
      <c r="G628" s="144"/>
      <c r="H628" s="138" t="s">
        <v>61</v>
      </c>
      <c r="I628" s="153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9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31)</f>
        <v>31</v>
      </c>
      <c r="K628" s="47">
        <f t="shared" ca="1" si="452"/>
        <v>344.44444444444446</v>
      </c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168" t="s">
        <v>233</v>
      </c>
      <c r="F629" s="146"/>
      <c r="G629" s="144"/>
      <c r="H629" s="138" t="s">
        <v>46</v>
      </c>
      <c r="I629" s="45"/>
      <c r="J629" s="169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50)</f>
        <v>50</v>
      </c>
      <c r="K629" s="47">
        <f t="shared" ref="K629:K631" ca="1" si="453">IF(I$626&gt;0,J629*100/I$626,0)</f>
        <v>9.0909090909090917</v>
      </c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168" t="s">
        <v>234</v>
      </c>
      <c r="F630" s="146"/>
      <c r="G630" s="144"/>
      <c r="H630" s="138" t="s">
        <v>46</v>
      </c>
      <c r="I630" s="45"/>
      <c r="J630" s="169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3"/>
        <v>0</v>
      </c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168" t="s">
        <v>235</v>
      </c>
      <c r="F631" s="146"/>
      <c r="G631" s="144"/>
      <c r="H631" s="138" t="s">
        <v>46</v>
      </c>
      <c r="I631" s="45"/>
      <c r="J631" s="169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3"/>
        <v>0</v>
      </c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168" t="s">
        <v>236</v>
      </c>
      <c r="F632" s="146"/>
      <c r="G632" s="144"/>
      <c r="H632" s="138" t="s">
        <v>46</v>
      </c>
      <c r="I632" s="45"/>
      <c r="J632" s="148">
        <f ca="1">J633+J634</f>
        <v>0</v>
      </c>
      <c r="K632" s="133">
        <f ca="1">IF(I626&gt;0,J632*100/I626,0)</f>
        <v>0</v>
      </c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46"/>
      <c r="F633" s="168" t="s">
        <v>237</v>
      </c>
      <c r="G633" s="144"/>
      <c r="H633" s="138" t="s">
        <v>46</v>
      </c>
      <c r="I633" s="45"/>
      <c r="J633" s="169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46"/>
      <c r="F634" s="168" t="s">
        <v>238</v>
      </c>
      <c r="G634" s="144"/>
      <c r="H634" s="138" t="s">
        <v>46</v>
      </c>
      <c r="I634" s="45"/>
      <c r="J634" s="169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46"/>
      <c r="F635" s="146"/>
      <c r="G635" s="144"/>
      <c r="H635" s="138" t="s">
        <v>46</v>
      </c>
      <c r="I635" s="148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8">
        <f ca="1">J636</f>
        <v>0</v>
      </c>
      <c r="K635" s="133">
        <f ca="1">IF(I635&gt;0,J635*100/I635,0)</f>
        <v>0</v>
      </c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168" t="s">
        <v>240</v>
      </c>
      <c r="F636" s="146"/>
      <c r="G636" s="144"/>
      <c r="H636" s="138" t="s">
        <v>46</v>
      </c>
      <c r="I636" s="45"/>
      <c r="J636" s="153">
        <f ca="1">J637+J638</f>
        <v>0</v>
      </c>
      <c r="K636" s="46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46"/>
      <c r="F637" s="168" t="s">
        <v>237</v>
      </c>
      <c r="G637" s="144"/>
      <c r="H637" s="138" t="s">
        <v>46</v>
      </c>
      <c r="I637" s="45"/>
      <c r="J637" s="169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46"/>
      <c r="F638" s="168" t="s">
        <v>238</v>
      </c>
      <c r="G638" s="144"/>
      <c r="H638" s="138" t="s">
        <v>46</v>
      </c>
      <c r="I638" s="45"/>
      <c r="J638" s="169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168" t="s">
        <v>241</v>
      </c>
      <c r="F639" s="146"/>
      <c r="G639" s="144"/>
      <c r="H639" s="138" t="s">
        <v>46</v>
      </c>
      <c r="I639" s="45"/>
      <c r="J639" s="169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46"/>
      <c r="F640" s="168" t="s">
        <v>242</v>
      </c>
      <c r="G640" s="144"/>
      <c r="H640" s="138" t="s">
        <v>46</v>
      </c>
      <c r="I640" s="45"/>
      <c r="J640" s="169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x14ac:dyDescent="0.3">
      <c r="A641" s="483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49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x14ac:dyDescent="0.3">
      <c r="A642" s="129"/>
      <c r="B642" s="160"/>
      <c r="C642" s="496" t="s">
        <v>18</v>
      </c>
      <c r="D642" s="554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133">
        <f t="shared" ref="L642:N642" ca="1" si="454">L643+L644</f>
        <v>0</v>
      </c>
      <c r="M642" s="133">
        <f t="shared" ca="1" si="454"/>
        <v>0</v>
      </c>
      <c r="N642" s="133">
        <f t="shared" ca="1" si="454"/>
        <v>0</v>
      </c>
      <c r="O642" s="133">
        <f t="shared" ref="O642:O650" ca="1" si="455">IF(L642&gt;0,N642*100/L642,0)</f>
        <v>0</v>
      </c>
      <c r="P642" s="133">
        <f t="shared" ref="P642:P650" ca="1" si="456">IF(M642&gt;0,N642*100/M642,0)</f>
        <v>0</v>
      </c>
      <c r="Q642" s="133">
        <f t="shared" ref="Q642:S642" ca="1" si="457">Q643+Q644</f>
        <v>8200</v>
      </c>
      <c r="R642" s="133">
        <f t="shared" ca="1" si="457"/>
        <v>8200</v>
      </c>
      <c r="S642" s="133">
        <f t="shared" ca="1" si="457"/>
        <v>1000</v>
      </c>
      <c r="T642" s="133">
        <f t="shared" ref="T642:T650" ca="1" si="458">IF(Q642&gt;0,S642*100/Q642,0)</f>
        <v>12.195121951219512</v>
      </c>
      <c r="U642" s="133">
        <f t="shared" ref="U642:U650" ca="1" si="459">IF(R642&gt;0,S642*100/R642,0)</f>
        <v>12.195121951219512</v>
      </c>
    </row>
    <row r="643" spans="1:21" ht="18.75" hidden="1" x14ac:dyDescent="0.25">
      <c r="A643" s="129"/>
      <c r="B643" s="160"/>
      <c r="C643" s="160"/>
      <c r="D643" s="146"/>
      <c r="E643" s="158" t="s">
        <v>162</v>
      </c>
      <c r="F643" s="41"/>
      <c r="G643" s="43"/>
      <c r="H643" s="161" t="s">
        <v>14</v>
      </c>
      <c r="I643" s="45"/>
      <c r="J643" s="45"/>
      <c r="K643" s="46"/>
      <c r="L643" s="49">
        <f t="shared" ref="L643:N643" ca="1" si="460">L646+L649</f>
        <v>0</v>
      </c>
      <c r="M643" s="49">
        <f t="shared" ca="1" si="460"/>
        <v>0</v>
      </c>
      <c r="N643" s="49">
        <f t="shared" ca="1" si="460"/>
        <v>0</v>
      </c>
      <c r="O643" s="49">
        <f t="shared" ca="1" si="455"/>
        <v>0</v>
      </c>
      <c r="P643" s="49">
        <f t="shared" ca="1" si="456"/>
        <v>0</v>
      </c>
      <c r="Q643" s="49">
        <f t="shared" ref="Q643:S643" ca="1" si="461">Q646+Q649</f>
        <v>0</v>
      </c>
      <c r="R643" s="49">
        <f t="shared" ca="1" si="461"/>
        <v>0</v>
      </c>
      <c r="S643" s="49">
        <f t="shared" ca="1" si="461"/>
        <v>0</v>
      </c>
      <c r="T643" s="49">
        <f t="shared" ca="1" si="458"/>
        <v>0</v>
      </c>
      <c r="U643" s="49">
        <f t="shared" ca="1" si="459"/>
        <v>0</v>
      </c>
    </row>
    <row r="644" spans="1:21" ht="18.75" hidden="1" x14ac:dyDescent="0.25">
      <c r="A644" s="129"/>
      <c r="B644" s="160"/>
      <c r="C644" s="160"/>
      <c r="D644" s="146"/>
      <c r="E644" s="48" t="s">
        <v>163</v>
      </c>
      <c r="F644" s="41"/>
      <c r="G644" s="43"/>
      <c r="H644" s="135" t="s">
        <v>14</v>
      </c>
      <c r="I644" s="45"/>
      <c r="J644" s="45"/>
      <c r="K644" s="46"/>
      <c r="L644" s="47">
        <f t="shared" ref="L644:N644" ca="1" si="462">L647+L650</f>
        <v>0</v>
      </c>
      <c r="M644" s="47">
        <f t="shared" ca="1" si="462"/>
        <v>0</v>
      </c>
      <c r="N644" s="47">
        <f t="shared" ca="1" si="462"/>
        <v>0</v>
      </c>
      <c r="O644" s="47">
        <f t="shared" ca="1" si="455"/>
        <v>0</v>
      </c>
      <c r="P644" s="47">
        <f t="shared" ca="1" si="456"/>
        <v>0</v>
      </c>
      <c r="Q644" s="47">
        <f t="shared" ref="Q644:S644" ca="1" si="463">Q647+Q650</f>
        <v>8200</v>
      </c>
      <c r="R644" s="47">
        <f t="shared" ca="1" si="463"/>
        <v>8200</v>
      </c>
      <c r="S644" s="47">
        <f t="shared" ca="1" si="463"/>
        <v>1000</v>
      </c>
      <c r="T644" s="47">
        <f t="shared" ca="1" si="458"/>
        <v>12.195121951219512</v>
      </c>
      <c r="U644" s="47">
        <f t="shared" ca="1" si="459"/>
        <v>12.195121951219512</v>
      </c>
    </row>
    <row r="645" spans="1:21" ht="18.75" x14ac:dyDescent="0.25">
      <c r="A645" s="129"/>
      <c r="B645" s="160"/>
      <c r="C645" s="160"/>
      <c r="D645" s="42" t="s">
        <v>22</v>
      </c>
      <c r="E645" s="41"/>
      <c r="F645" s="41"/>
      <c r="G645" s="43"/>
      <c r="H645" s="135" t="s">
        <v>14</v>
      </c>
      <c r="I645" s="136"/>
      <c r="J645" s="136"/>
      <c r="K645" s="137"/>
      <c r="L645" s="47">
        <f t="shared" ref="L645:N645" ca="1" si="464">L646+L647</f>
        <v>0</v>
      </c>
      <c r="M645" s="47">
        <f t="shared" ca="1" si="464"/>
        <v>0</v>
      </c>
      <c r="N645" s="47">
        <f t="shared" ca="1" si="464"/>
        <v>0</v>
      </c>
      <c r="O645" s="47">
        <f t="shared" ca="1" si="455"/>
        <v>0</v>
      </c>
      <c r="P645" s="47">
        <f t="shared" ca="1" si="456"/>
        <v>0</v>
      </c>
      <c r="Q645" s="47">
        <f t="shared" ref="Q645:S645" ca="1" si="465">Q646+Q647</f>
        <v>8200</v>
      </c>
      <c r="R645" s="47">
        <f t="shared" ca="1" si="465"/>
        <v>8200</v>
      </c>
      <c r="S645" s="47">
        <f t="shared" ca="1" si="465"/>
        <v>1000</v>
      </c>
      <c r="T645" s="47">
        <f t="shared" ca="1" si="458"/>
        <v>12.195121951219512</v>
      </c>
      <c r="U645" s="47">
        <f t="shared" ca="1" si="459"/>
        <v>12.195121951219512</v>
      </c>
    </row>
    <row r="646" spans="1:21" ht="18.75" hidden="1" x14ac:dyDescent="0.25">
      <c r="A646" s="129"/>
      <c r="B646" s="160"/>
      <c r="C646" s="160"/>
      <c r="D646" s="146"/>
      <c r="E646" s="158" t="s">
        <v>162</v>
      </c>
      <c r="F646" s="41"/>
      <c r="G646" s="43"/>
      <c r="H646" s="161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5"/>
        <v>0</v>
      </c>
      <c r="P646" s="49">
        <f t="shared" ca="1" si="456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8"/>
        <v>0</v>
      </c>
      <c r="U646" s="49">
        <f t="shared" ca="1" si="459"/>
        <v>0</v>
      </c>
    </row>
    <row r="647" spans="1:21" ht="18.75" hidden="1" x14ac:dyDescent="0.25">
      <c r="A647" s="129"/>
      <c r="B647" s="160"/>
      <c r="C647" s="160"/>
      <c r="D647" s="146"/>
      <c r="E647" s="48" t="s">
        <v>163</v>
      </c>
      <c r="F647" s="41"/>
      <c r="G647" s="43"/>
      <c r="H647" s="135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5"/>
        <v>0</v>
      </c>
      <c r="P647" s="47">
        <f t="shared" ca="1" si="456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1000)</f>
        <v>1000</v>
      </c>
      <c r="T647" s="47">
        <f t="shared" ca="1" si="458"/>
        <v>12.195121951219512</v>
      </c>
      <c r="U647" s="47">
        <f t="shared" ca="1" si="459"/>
        <v>12.195121951219512</v>
      </c>
    </row>
    <row r="648" spans="1:21" ht="18.75" x14ac:dyDescent="0.25">
      <c r="A648" s="129"/>
      <c r="B648" s="160"/>
      <c r="C648" s="160"/>
      <c r="D648" s="42" t="s">
        <v>23</v>
      </c>
      <c r="E648" s="41"/>
      <c r="F648" s="41"/>
      <c r="G648" s="43"/>
      <c r="H648" s="138" t="s">
        <v>14</v>
      </c>
      <c r="I648" s="136"/>
      <c r="J648" s="136"/>
      <c r="K648" s="137"/>
      <c r="L648" s="47">
        <f t="shared" ref="L648:N648" ca="1" si="466">L649+L650</f>
        <v>0</v>
      </c>
      <c r="M648" s="47">
        <f t="shared" ca="1" si="466"/>
        <v>0</v>
      </c>
      <c r="N648" s="47">
        <f t="shared" ca="1" si="466"/>
        <v>0</v>
      </c>
      <c r="O648" s="47">
        <f t="shared" ca="1" si="455"/>
        <v>0</v>
      </c>
      <c r="P648" s="47">
        <f t="shared" ca="1" si="456"/>
        <v>0</v>
      </c>
      <c r="Q648" s="47">
        <f t="shared" ref="Q648:S648" ca="1" si="467">Q649+Q650</f>
        <v>0</v>
      </c>
      <c r="R648" s="47">
        <f t="shared" ca="1" si="467"/>
        <v>0</v>
      </c>
      <c r="S648" s="47">
        <f t="shared" ca="1" si="467"/>
        <v>0</v>
      </c>
      <c r="T648" s="47">
        <f t="shared" ca="1" si="458"/>
        <v>0</v>
      </c>
      <c r="U648" s="47">
        <f t="shared" ca="1" si="459"/>
        <v>0</v>
      </c>
    </row>
    <row r="649" spans="1:21" ht="18.75" hidden="1" x14ac:dyDescent="0.25">
      <c r="A649" s="129"/>
      <c r="B649" s="160"/>
      <c r="C649" s="160"/>
      <c r="D649" s="41"/>
      <c r="E649" s="158" t="s">
        <v>20</v>
      </c>
      <c r="F649" s="41"/>
      <c r="G649" s="43"/>
      <c r="H649" s="161" t="s">
        <v>14</v>
      </c>
      <c r="I649" s="136"/>
      <c r="J649" s="136"/>
      <c r="K649" s="137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5"/>
        <v>0</v>
      </c>
      <c r="P649" s="49">
        <f t="shared" ca="1" si="456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8"/>
        <v>0</v>
      </c>
      <c r="U649" s="49">
        <f t="shared" ca="1" si="459"/>
        <v>0</v>
      </c>
    </row>
    <row r="650" spans="1:21" ht="18.75" hidden="1" x14ac:dyDescent="0.25">
      <c r="A650" s="129"/>
      <c r="B650" s="160"/>
      <c r="C650" s="160"/>
      <c r="D650" s="41"/>
      <c r="E650" s="48" t="s">
        <v>21</v>
      </c>
      <c r="F650" s="41"/>
      <c r="G650" s="43"/>
      <c r="H650" s="138" t="s">
        <v>14</v>
      </c>
      <c r="I650" s="136"/>
      <c r="J650" s="136"/>
      <c r="K650" s="137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5"/>
        <v>0</v>
      </c>
      <c r="P650" s="47">
        <f t="shared" ca="1" si="456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8"/>
        <v>0</v>
      </c>
      <c r="U650" s="47">
        <f t="shared" ca="1" si="459"/>
        <v>0</v>
      </c>
    </row>
    <row r="651" spans="1:21" ht="19.5" x14ac:dyDescent="0.3">
      <c r="A651" s="139"/>
      <c r="B651" s="140"/>
      <c r="C651" s="496" t="s">
        <v>18</v>
      </c>
      <c r="D651" s="497" t="s">
        <v>38</v>
      </c>
      <c r="E651" s="142"/>
      <c r="F651" s="142"/>
      <c r="G651" s="143"/>
      <c r="H651" s="192"/>
      <c r="I651" s="136"/>
      <c r="J651" s="136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</row>
    <row r="652" spans="1:21" ht="18.75" hidden="1" x14ac:dyDescent="0.25">
      <c r="A652" s="225"/>
      <c r="B652" s="160"/>
      <c r="C652" s="160"/>
      <c r="D652" s="48" t="s">
        <v>244</v>
      </c>
      <c r="E652" s="41"/>
      <c r="F652" s="41"/>
      <c r="G652" s="43"/>
      <c r="H652" s="138" t="s">
        <v>46</v>
      </c>
      <c r="I652" s="498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98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8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25"/>
      <c r="B653" s="160"/>
      <c r="C653" s="160"/>
      <c r="D653" s="48" t="s">
        <v>245</v>
      </c>
      <c r="E653" s="41"/>
      <c r="F653" s="41"/>
      <c r="G653" s="43"/>
      <c r="H653" s="138" t="s">
        <v>35</v>
      </c>
      <c r="I653" s="498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98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8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hidden="1" x14ac:dyDescent="0.3">
      <c r="A654" s="225"/>
      <c r="B654" s="160"/>
      <c r="C654" s="160"/>
      <c r="D654" s="48" t="s">
        <v>246</v>
      </c>
      <c r="E654" s="41"/>
      <c r="F654" s="41"/>
      <c r="G654" s="43"/>
      <c r="H654" s="493" t="s">
        <v>46</v>
      </c>
      <c r="I654" s="499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8">
        <f ca="1">J657+J660</f>
        <v>0</v>
      </c>
      <c r="K654" s="133">
        <f t="shared" ca="1" si="468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hidden="1" x14ac:dyDescent="0.25">
      <c r="A655" s="225"/>
      <c r="B655" s="160"/>
      <c r="C655" s="160"/>
      <c r="D655" s="41"/>
      <c r="E655" s="48" t="s">
        <v>247</v>
      </c>
      <c r="F655" s="41"/>
      <c r="G655" s="43"/>
      <c r="H655" s="138" t="s">
        <v>35</v>
      </c>
      <c r="I655" s="194"/>
      <c r="J655" s="169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hidden="1" x14ac:dyDescent="0.25">
      <c r="A656" s="225"/>
      <c r="B656" s="160"/>
      <c r="C656" s="160"/>
      <c r="D656" s="41"/>
      <c r="E656" s="41"/>
      <c r="F656" s="41"/>
      <c r="G656" s="43"/>
      <c r="H656" s="138" t="s">
        <v>34</v>
      </c>
      <c r="I656" s="194"/>
      <c r="J656" s="169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hidden="1" x14ac:dyDescent="0.25">
      <c r="A657" s="225"/>
      <c r="B657" s="160"/>
      <c r="C657" s="160"/>
      <c r="D657" s="41"/>
      <c r="E657" s="41"/>
      <c r="F657" s="41"/>
      <c r="G657" s="43"/>
      <c r="H657" s="138" t="s">
        <v>46</v>
      </c>
      <c r="I657" s="498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9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hidden="1" x14ac:dyDescent="0.25">
      <c r="A658" s="225"/>
      <c r="B658" s="160"/>
      <c r="C658" s="160"/>
      <c r="D658" s="41"/>
      <c r="E658" s="48" t="s">
        <v>248</v>
      </c>
      <c r="F658" s="41"/>
      <c r="G658" s="43"/>
      <c r="H658" s="138" t="s">
        <v>35</v>
      </c>
      <c r="I658" s="194"/>
      <c r="J658" s="169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hidden="1" x14ac:dyDescent="0.25">
      <c r="A659" s="225"/>
      <c r="B659" s="160"/>
      <c r="C659" s="160"/>
      <c r="D659" s="41"/>
      <c r="E659" s="41"/>
      <c r="F659" s="41"/>
      <c r="G659" s="43"/>
      <c r="H659" s="138" t="s">
        <v>34</v>
      </c>
      <c r="I659" s="194"/>
      <c r="J659" s="169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hidden="1" x14ac:dyDescent="0.25">
      <c r="A660" s="225"/>
      <c r="B660" s="160"/>
      <c r="C660" s="160"/>
      <c r="D660" s="41"/>
      <c r="E660" s="41"/>
      <c r="F660" s="41"/>
      <c r="G660" s="43"/>
      <c r="H660" s="138" t="s">
        <v>46</v>
      </c>
      <c r="I660" s="498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9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41"/>
      <c r="F661" s="41"/>
      <c r="G661" s="43"/>
      <c r="H661" s="493" t="s">
        <v>46</v>
      </c>
      <c r="I661" s="499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8">
        <f ca="1">J667+J670</f>
        <v>0</v>
      </c>
      <c r="K661" s="133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hidden="1" x14ac:dyDescent="0.25">
      <c r="A662" s="225"/>
      <c r="B662" s="160"/>
      <c r="C662" s="160"/>
      <c r="D662" s="41"/>
      <c r="E662" s="48" t="s">
        <v>250</v>
      </c>
      <c r="F662" s="41"/>
      <c r="G662" s="43"/>
      <c r="H662" s="138" t="s">
        <v>34</v>
      </c>
      <c r="I662" s="194"/>
      <c r="J662" s="169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500"/>
      <c r="M662" s="500"/>
      <c r="N662" s="500"/>
      <c r="O662" s="46"/>
      <c r="P662" s="46"/>
      <c r="Q662" s="500"/>
      <c r="R662" s="500"/>
      <c r="S662" s="500"/>
      <c r="T662" s="46"/>
      <c r="U662" s="46"/>
    </row>
    <row r="663" spans="1:21" ht="18.75" hidden="1" x14ac:dyDescent="0.25">
      <c r="A663" s="225"/>
      <c r="B663" s="160"/>
      <c r="C663" s="160"/>
      <c r="D663" s="41"/>
      <c r="E663" s="41"/>
      <c r="F663" s="41"/>
      <c r="G663" s="43"/>
      <c r="H663" s="138" t="s">
        <v>46</v>
      </c>
      <c r="I663" s="194"/>
      <c r="J663" s="169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500"/>
      <c r="M663" s="500"/>
      <c r="N663" s="500"/>
      <c r="O663" s="46"/>
      <c r="P663" s="46"/>
      <c r="Q663" s="500"/>
      <c r="R663" s="500"/>
      <c r="S663" s="500"/>
      <c r="T663" s="46"/>
      <c r="U663" s="46"/>
    </row>
    <row r="664" spans="1:21" ht="18.75" hidden="1" x14ac:dyDescent="0.25">
      <c r="A664" s="225"/>
      <c r="B664" s="160"/>
      <c r="C664" s="160"/>
      <c r="D664" s="41"/>
      <c r="E664" s="48" t="s">
        <v>251</v>
      </c>
      <c r="F664" s="41"/>
      <c r="G664" s="43"/>
      <c r="H664" s="192"/>
      <c r="I664" s="194"/>
      <c r="J664" s="45"/>
      <c r="K664" s="46"/>
      <c r="L664" s="500"/>
      <c r="M664" s="500"/>
      <c r="N664" s="500"/>
      <c r="O664" s="46"/>
      <c r="P664" s="46"/>
      <c r="Q664" s="500"/>
      <c r="R664" s="500"/>
      <c r="S664" s="500"/>
      <c r="T664" s="46"/>
      <c r="U664" s="46"/>
    </row>
    <row r="665" spans="1:21" ht="18.75" hidden="1" x14ac:dyDescent="0.25">
      <c r="A665" s="225"/>
      <c r="B665" s="160"/>
      <c r="C665" s="160"/>
      <c r="D665" s="41"/>
      <c r="E665" s="41"/>
      <c r="F665" s="48" t="s">
        <v>252</v>
      </c>
      <c r="G665" s="43"/>
      <c r="H665" s="138" t="s">
        <v>35</v>
      </c>
      <c r="I665" s="194"/>
      <c r="J665" s="169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500"/>
      <c r="M665" s="500"/>
      <c r="N665" s="500"/>
      <c r="O665" s="46"/>
      <c r="P665" s="46"/>
      <c r="Q665" s="500"/>
      <c r="R665" s="500"/>
      <c r="S665" s="500"/>
      <c r="T665" s="46"/>
      <c r="U665" s="46"/>
    </row>
    <row r="666" spans="1:21" ht="18.75" hidden="1" x14ac:dyDescent="0.25">
      <c r="A666" s="225"/>
      <c r="B666" s="160"/>
      <c r="C666" s="160"/>
      <c r="D666" s="41"/>
      <c r="E666" s="41"/>
      <c r="F666" s="41"/>
      <c r="G666" s="43"/>
      <c r="H666" s="138" t="s">
        <v>34</v>
      </c>
      <c r="I666" s="194"/>
      <c r="J666" s="169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500"/>
      <c r="M666" s="500"/>
      <c r="N666" s="500"/>
      <c r="O666" s="46"/>
      <c r="P666" s="46"/>
      <c r="Q666" s="500"/>
      <c r="R666" s="500"/>
      <c r="S666" s="500"/>
      <c r="T666" s="46"/>
      <c r="U666" s="46"/>
    </row>
    <row r="667" spans="1:21" ht="18.75" hidden="1" x14ac:dyDescent="0.25">
      <c r="A667" s="225"/>
      <c r="B667" s="160"/>
      <c r="C667" s="160"/>
      <c r="D667" s="41"/>
      <c r="E667" s="41"/>
      <c r="F667" s="41"/>
      <c r="G667" s="43"/>
      <c r="H667" s="138" t="s">
        <v>46</v>
      </c>
      <c r="I667" s="194"/>
      <c r="J667" s="169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500"/>
      <c r="M667" s="500"/>
      <c r="N667" s="500"/>
      <c r="O667" s="46"/>
      <c r="P667" s="46"/>
      <c r="Q667" s="500"/>
      <c r="R667" s="500"/>
      <c r="S667" s="500"/>
      <c r="T667" s="46"/>
      <c r="U667" s="46"/>
    </row>
    <row r="668" spans="1:21" ht="18.75" hidden="1" x14ac:dyDescent="0.25">
      <c r="A668" s="225"/>
      <c r="B668" s="160"/>
      <c r="C668" s="160"/>
      <c r="D668" s="41"/>
      <c r="E668" s="41"/>
      <c r="F668" s="48" t="s">
        <v>253</v>
      </c>
      <c r="G668" s="43"/>
      <c r="H668" s="138" t="s">
        <v>35</v>
      </c>
      <c r="I668" s="194"/>
      <c r="J668" s="169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500"/>
      <c r="M668" s="500"/>
      <c r="N668" s="500"/>
      <c r="O668" s="46"/>
      <c r="P668" s="46"/>
      <c r="Q668" s="500"/>
      <c r="R668" s="500"/>
      <c r="S668" s="500"/>
      <c r="T668" s="46"/>
      <c r="U668" s="46"/>
    </row>
    <row r="669" spans="1:21" ht="18.75" hidden="1" x14ac:dyDescent="0.25">
      <c r="A669" s="225"/>
      <c r="B669" s="160"/>
      <c r="C669" s="160"/>
      <c r="D669" s="41"/>
      <c r="E669" s="41"/>
      <c r="F669" s="41"/>
      <c r="G669" s="43"/>
      <c r="H669" s="138" t="s">
        <v>34</v>
      </c>
      <c r="I669" s="194"/>
      <c r="J669" s="169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500"/>
      <c r="M669" s="500"/>
      <c r="N669" s="500"/>
      <c r="O669" s="46"/>
      <c r="P669" s="46"/>
      <c r="Q669" s="500"/>
      <c r="R669" s="500"/>
      <c r="S669" s="500"/>
      <c r="T669" s="46"/>
      <c r="U669" s="46"/>
    </row>
    <row r="670" spans="1:21" ht="18.75" hidden="1" x14ac:dyDescent="0.25">
      <c r="A670" s="225"/>
      <c r="B670" s="160"/>
      <c r="C670" s="160"/>
      <c r="D670" s="41"/>
      <c r="E670" s="41"/>
      <c r="F670" s="41"/>
      <c r="G670" s="43"/>
      <c r="H670" s="138" t="s">
        <v>46</v>
      </c>
      <c r="I670" s="194"/>
      <c r="J670" s="169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500"/>
      <c r="M670" s="500"/>
      <c r="N670" s="500"/>
      <c r="O670" s="46"/>
      <c r="P670" s="46"/>
      <c r="Q670" s="500"/>
      <c r="R670" s="500"/>
      <c r="S670" s="500"/>
      <c r="T670" s="46"/>
      <c r="U670" s="46"/>
    </row>
    <row r="671" spans="1:21" ht="18.75" hidden="1" x14ac:dyDescent="0.25">
      <c r="A671" s="225"/>
      <c r="B671" s="160"/>
      <c r="C671" s="160"/>
      <c r="D671" s="48" t="s">
        <v>254</v>
      </c>
      <c r="E671" s="41"/>
      <c r="F671" s="41"/>
      <c r="G671" s="43"/>
      <c r="H671" s="138" t="s">
        <v>35</v>
      </c>
      <c r="I671" s="194"/>
      <c r="J671" s="153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hidden="1" x14ac:dyDescent="0.25">
      <c r="A672" s="225"/>
      <c r="B672" s="160"/>
      <c r="C672" s="160"/>
      <c r="D672" s="41"/>
      <c r="E672" s="41"/>
      <c r="F672" s="41"/>
      <c r="G672" s="43"/>
      <c r="H672" s="138" t="s">
        <v>34</v>
      </c>
      <c r="I672" s="194"/>
      <c r="J672" s="153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500"/>
      <c r="M672" s="500"/>
      <c r="N672" s="500"/>
      <c r="O672" s="46"/>
      <c r="P672" s="46"/>
      <c r="Q672" s="500"/>
      <c r="R672" s="500"/>
      <c r="S672" s="500"/>
      <c r="T672" s="46"/>
      <c r="U672" s="46"/>
    </row>
    <row r="673" spans="1:21" ht="18.75" hidden="1" x14ac:dyDescent="0.25">
      <c r="A673" s="225"/>
      <c r="B673" s="160"/>
      <c r="C673" s="160"/>
      <c r="D673" s="41"/>
      <c r="E673" s="41"/>
      <c r="F673" s="41"/>
      <c r="G673" s="43"/>
      <c r="H673" s="138" t="s">
        <v>46</v>
      </c>
      <c r="I673" s="498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98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9">IF(I673&gt;0,J673*100/I673,0)</f>
        <v>0</v>
      </c>
      <c r="L673" s="500"/>
      <c r="M673" s="500"/>
      <c r="N673" s="500"/>
      <c r="O673" s="46"/>
      <c r="P673" s="46"/>
      <c r="Q673" s="500"/>
      <c r="R673" s="500"/>
      <c r="S673" s="500"/>
      <c r="T673" s="46"/>
      <c r="U673" s="46"/>
    </row>
    <row r="674" spans="1:21" ht="19.5" hidden="1" x14ac:dyDescent="0.3">
      <c r="A674" s="225"/>
      <c r="B674" s="160"/>
      <c r="C674" s="160"/>
      <c r="D674" s="48" t="s">
        <v>255</v>
      </c>
      <c r="E674" s="41"/>
      <c r="F674" s="41"/>
      <c r="G674" s="43"/>
      <c r="H674" s="493" t="s">
        <v>35</v>
      </c>
      <c r="I674" s="499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8">
        <f ca="1">J676+J679</f>
        <v>0</v>
      </c>
      <c r="K674" s="133">
        <f t="shared" ca="1" si="469"/>
        <v>0</v>
      </c>
      <c r="L674" s="500"/>
      <c r="M674" s="500"/>
      <c r="N674" s="500"/>
      <c r="O674" s="46"/>
      <c r="P674" s="46"/>
      <c r="Q674" s="500"/>
      <c r="R674" s="500"/>
      <c r="S674" s="500"/>
      <c r="T674" s="46"/>
      <c r="U674" s="46"/>
    </row>
    <row r="675" spans="1:21" ht="19.5" hidden="1" x14ac:dyDescent="0.3">
      <c r="A675" s="225"/>
      <c r="B675" s="160"/>
      <c r="C675" s="160"/>
      <c r="D675" s="41"/>
      <c r="E675" s="41"/>
      <c r="F675" s="41"/>
      <c r="G675" s="43"/>
      <c r="H675" s="493" t="s">
        <v>46</v>
      </c>
      <c r="I675" s="499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8">
        <f ca="1">J678+J681</f>
        <v>0</v>
      </c>
      <c r="K675" s="133">
        <f t="shared" ca="1" si="469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hidden="1" x14ac:dyDescent="0.25">
      <c r="A676" s="225"/>
      <c r="B676" s="160"/>
      <c r="C676" s="160"/>
      <c r="D676" s="41"/>
      <c r="E676" s="48" t="s">
        <v>256</v>
      </c>
      <c r="F676" s="41"/>
      <c r="G676" s="43"/>
      <c r="H676" s="138" t="s">
        <v>35</v>
      </c>
      <c r="I676" s="498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98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9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hidden="1" x14ac:dyDescent="0.25">
      <c r="A677" s="225"/>
      <c r="B677" s="160"/>
      <c r="C677" s="160"/>
      <c r="D677" s="41"/>
      <c r="E677" s="41"/>
      <c r="F677" s="41"/>
      <c r="G677" s="43"/>
      <c r="H677" s="138" t="s">
        <v>34</v>
      </c>
      <c r="I677" s="194"/>
      <c r="J677" s="153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500"/>
      <c r="M677" s="500"/>
      <c r="N677" s="500"/>
      <c r="O677" s="46"/>
      <c r="P677" s="46"/>
      <c r="Q677" s="500"/>
      <c r="R677" s="500"/>
      <c r="S677" s="500"/>
      <c r="T677" s="46"/>
      <c r="U677" s="46"/>
    </row>
    <row r="678" spans="1:21" ht="18.75" hidden="1" x14ac:dyDescent="0.25">
      <c r="A678" s="225"/>
      <c r="B678" s="160"/>
      <c r="C678" s="160"/>
      <c r="D678" s="41"/>
      <c r="E678" s="41"/>
      <c r="F678" s="41"/>
      <c r="G678" s="43"/>
      <c r="H678" s="138" t="s">
        <v>46</v>
      </c>
      <c r="I678" s="498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98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70">IF(I678&gt;0,J678*100/I678,0)</f>
        <v>0</v>
      </c>
      <c r="L678" s="500"/>
      <c r="M678" s="500"/>
      <c r="N678" s="500"/>
      <c r="O678" s="46"/>
      <c r="P678" s="46"/>
      <c r="Q678" s="500"/>
      <c r="R678" s="500"/>
      <c r="S678" s="500"/>
      <c r="T678" s="46"/>
      <c r="U678" s="46"/>
    </row>
    <row r="679" spans="1:21" ht="18.75" hidden="1" x14ac:dyDescent="0.25">
      <c r="A679" s="225"/>
      <c r="B679" s="160"/>
      <c r="C679" s="160"/>
      <c r="D679" s="41"/>
      <c r="E679" s="48" t="s">
        <v>257</v>
      </c>
      <c r="F679" s="41"/>
      <c r="G679" s="43"/>
      <c r="H679" s="138" t="s">
        <v>35</v>
      </c>
      <c r="I679" s="498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98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70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hidden="1" x14ac:dyDescent="0.25">
      <c r="A680" s="225"/>
      <c r="B680" s="160"/>
      <c r="C680" s="160"/>
      <c r="D680" s="41"/>
      <c r="E680" s="41"/>
      <c r="F680" s="41"/>
      <c r="G680" s="43"/>
      <c r="H680" s="138" t="s">
        <v>34</v>
      </c>
      <c r="I680" s="194"/>
      <c r="J680" s="153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500"/>
      <c r="M680" s="500"/>
      <c r="N680" s="500"/>
      <c r="O680" s="46"/>
      <c r="P680" s="46"/>
      <c r="Q680" s="500"/>
      <c r="R680" s="500"/>
      <c r="S680" s="500"/>
      <c r="T680" s="46"/>
      <c r="U680" s="46"/>
    </row>
    <row r="681" spans="1:21" ht="18.75" hidden="1" x14ac:dyDescent="0.25">
      <c r="A681" s="225"/>
      <c r="B681" s="160"/>
      <c r="C681" s="160"/>
      <c r="D681" s="41"/>
      <c r="E681" s="41"/>
      <c r="F681" s="41"/>
      <c r="G681" s="43"/>
      <c r="H681" s="138" t="s">
        <v>46</v>
      </c>
      <c r="I681" s="498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98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1">IF(I681&gt;0,J681*100/I681,0)</f>
        <v>0</v>
      </c>
      <c r="L681" s="500"/>
      <c r="M681" s="500"/>
      <c r="N681" s="500"/>
      <c r="O681" s="46"/>
      <c r="P681" s="46"/>
      <c r="Q681" s="500"/>
      <c r="R681" s="500"/>
      <c r="S681" s="500"/>
      <c r="T681" s="46"/>
      <c r="U681" s="46"/>
    </row>
    <row r="682" spans="1:21" ht="19.5" hidden="1" x14ac:dyDescent="0.3">
      <c r="A682" s="225"/>
      <c r="B682" s="160"/>
      <c r="C682" s="160"/>
      <c r="D682" s="48" t="s">
        <v>258</v>
      </c>
      <c r="E682" s="41"/>
      <c r="F682" s="41"/>
      <c r="G682" s="43"/>
      <c r="H682" s="493" t="s">
        <v>46</v>
      </c>
      <c r="I682" s="499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8">
        <f ca="1">J685+J688</f>
        <v>0</v>
      </c>
      <c r="K682" s="133">
        <f t="shared" ca="1" si="471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hidden="1" x14ac:dyDescent="0.25">
      <c r="A683" s="225"/>
      <c r="B683" s="160"/>
      <c r="C683" s="160"/>
      <c r="D683" s="41"/>
      <c r="E683" s="48" t="s">
        <v>259</v>
      </c>
      <c r="F683" s="41"/>
      <c r="G683" s="43"/>
      <c r="H683" s="138" t="s">
        <v>35</v>
      </c>
      <c r="I683" s="194"/>
      <c r="J683" s="169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500"/>
      <c r="M683" s="500"/>
      <c r="N683" s="500"/>
      <c r="O683" s="46"/>
      <c r="P683" s="46"/>
      <c r="Q683" s="500"/>
      <c r="R683" s="500"/>
      <c r="S683" s="500"/>
      <c r="T683" s="46"/>
      <c r="U683" s="46"/>
    </row>
    <row r="684" spans="1:21" ht="18.75" hidden="1" x14ac:dyDescent="0.25">
      <c r="A684" s="225"/>
      <c r="B684" s="160"/>
      <c r="C684" s="160"/>
      <c r="D684" s="41"/>
      <c r="E684" s="41"/>
      <c r="F684" s="41"/>
      <c r="G684" s="43"/>
      <c r="H684" s="138" t="s">
        <v>34</v>
      </c>
      <c r="I684" s="194"/>
      <c r="J684" s="169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500"/>
      <c r="M684" s="500"/>
      <c r="N684" s="500"/>
      <c r="O684" s="46"/>
      <c r="P684" s="46"/>
      <c r="Q684" s="500"/>
      <c r="R684" s="500"/>
      <c r="S684" s="500"/>
      <c r="T684" s="46"/>
      <c r="U684" s="46"/>
    </row>
    <row r="685" spans="1:21" ht="18.75" hidden="1" x14ac:dyDescent="0.25">
      <c r="A685" s="225"/>
      <c r="B685" s="160"/>
      <c r="C685" s="160"/>
      <c r="D685" s="41"/>
      <c r="E685" s="41"/>
      <c r="F685" s="41"/>
      <c r="G685" s="43"/>
      <c r="H685" s="138" t="s">
        <v>46</v>
      </c>
      <c r="I685" s="194"/>
      <c r="J685" s="169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500"/>
      <c r="M685" s="500"/>
      <c r="N685" s="500"/>
      <c r="O685" s="46"/>
      <c r="P685" s="46"/>
      <c r="Q685" s="500"/>
      <c r="R685" s="500"/>
      <c r="S685" s="500"/>
      <c r="T685" s="46"/>
      <c r="U685" s="46"/>
    </row>
    <row r="686" spans="1:21" ht="18.75" hidden="1" x14ac:dyDescent="0.25">
      <c r="A686" s="225"/>
      <c r="B686" s="160"/>
      <c r="C686" s="160"/>
      <c r="D686" s="41"/>
      <c r="E686" s="48" t="s">
        <v>260</v>
      </c>
      <c r="F686" s="41"/>
      <c r="G686" s="43"/>
      <c r="H686" s="138" t="s">
        <v>35</v>
      </c>
      <c r="I686" s="194"/>
      <c r="J686" s="169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500"/>
      <c r="M686" s="500"/>
      <c r="N686" s="500"/>
      <c r="O686" s="46"/>
      <c r="P686" s="46"/>
      <c r="Q686" s="500"/>
      <c r="R686" s="500"/>
      <c r="S686" s="500"/>
      <c r="T686" s="46"/>
      <c r="U686" s="46"/>
    </row>
    <row r="687" spans="1:21" ht="18.75" hidden="1" x14ac:dyDescent="0.25">
      <c r="A687" s="225"/>
      <c r="B687" s="160"/>
      <c r="C687" s="160"/>
      <c r="D687" s="41"/>
      <c r="E687" s="41"/>
      <c r="F687" s="41"/>
      <c r="G687" s="43"/>
      <c r="H687" s="138" t="s">
        <v>34</v>
      </c>
      <c r="I687" s="194"/>
      <c r="J687" s="169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500"/>
      <c r="M687" s="500"/>
      <c r="N687" s="500"/>
      <c r="O687" s="46"/>
      <c r="P687" s="46"/>
      <c r="Q687" s="500"/>
      <c r="R687" s="500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502"/>
      <c r="M688" s="502"/>
      <c r="N688" s="502"/>
      <c r="O688" s="4"/>
      <c r="P688" s="4"/>
      <c r="Q688" s="502"/>
      <c r="R688" s="502"/>
      <c r="S688" s="502"/>
      <c r="T688" s="4"/>
      <c r="U688" s="4"/>
    </row>
    <row r="689" spans="1:21" ht="19.5" x14ac:dyDescent="0.3">
      <c r="A689" s="476"/>
      <c r="B689" s="477" t="s">
        <v>262</v>
      </c>
      <c r="C689" s="476"/>
      <c r="D689" s="478"/>
      <c r="E689" s="478"/>
      <c r="F689" s="478"/>
      <c r="G689" s="479"/>
      <c r="H689" s="503" t="s">
        <v>35</v>
      </c>
      <c r="I689" s="504">
        <f t="shared" ref="I689:J689" ca="1" si="472">I707</f>
        <v>126</v>
      </c>
      <c r="J689" s="504">
        <f t="shared" ca="1" si="472"/>
        <v>38</v>
      </c>
      <c r="K689" s="505">
        <f ca="1">IF(I689&gt;0,J689*100/I689,0)</f>
        <v>30.158730158730158</v>
      </c>
      <c r="L689" s="482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191" t="s">
        <v>18</v>
      </c>
      <c r="D690" s="554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133">
        <f t="shared" ref="L690:N690" ca="1" si="473">L691+L692</f>
        <v>0</v>
      </c>
      <c r="M690" s="133">
        <f t="shared" ca="1" si="473"/>
        <v>0</v>
      </c>
      <c r="N690" s="133">
        <f t="shared" ca="1" si="473"/>
        <v>0</v>
      </c>
      <c r="O690" s="133">
        <f t="shared" ref="O690:O698" ca="1" si="474">IF(L690&gt;0,N690*100/L690,0)</f>
        <v>0</v>
      </c>
      <c r="P690" s="133">
        <f t="shared" ref="P690:P698" ca="1" si="475">IF(M690&gt;0,N690*100/M690,0)</f>
        <v>0</v>
      </c>
      <c r="Q690" s="133">
        <f t="shared" ref="Q690:S690" ca="1" si="476">Q691+Q692</f>
        <v>865550</v>
      </c>
      <c r="R690" s="133">
        <f t="shared" ca="1" si="476"/>
        <v>758748.34</v>
      </c>
      <c r="S690" s="133">
        <f t="shared" ca="1" si="476"/>
        <v>415592.48</v>
      </c>
      <c r="T690" s="133">
        <f t="shared" ref="T690:T698" ca="1" si="477">IF(Q690&gt;0,S690*100/Q690,0)</f>
        <v>48.014843740973944</v>
      </c>
      <c r="U690" s="133">
        <f t="shared" ref="U690:U698" ca="1" si="478">IF(R690&gt;0,S690*100/R690,0)</f>
        <v>54.773428565260524</v>
      </c>
    </row>
    <row r="691" spans="1:21" ht="18.75" hidden="1" x14ac:dyDescent="0.25">
      <c r="A691" s="129"/>
      <c r="B691" s="160"/>
      <c r="C691" s="160"/>
      <c r="D691" s="146"/>
      <c r="E691" s="158" t="s">
        <v>162</v>
      </c>
      <c r="F691" s="41"/>
      <c r="G691" s="43"/>
      <c r="H691" s="161" t="s">
        <v>14</v>
      </c>
      <c r="I691" s="45"/>
      <c r="J691" s="45"/>
      <c r="K691" s="46"/>
      <c r="L691" s="49">
        <f t="shared" ref="L691:N691" ca="1" si="479">L694+L697</f>
        <v>0</v>
      </c>
      <c r="M691" s="49">
        <f t="shared" ca="1" si="479"/>
        <v>0</v>
      </c>
      <c r="N691" s="49">
        <f t="shared" ca="1" si="479"/>
        <v>0</v>
      </c>
      <c r="O691" s="49">
        <f t="shared" ca="1" si="474"/>
        <v>0</v>
      </c>
      <c r="P691" s="49">
        <f t="shared" ca="1" si="475"/>
        <v>0</v>
      </c>
      <c r="Q691" s="49">
        <f t="shared" ref="Q691:S691" ca="1" si="480">Q694+Q697</f>
        <v>0</v>
      </c>
      <c r="R691" s="49">
        <f t="shared" ca="1" si="480"/>
        <v>0</v>
      </c>
      <c r="S691" s="49">
        <f t="shared" ca="1" si="480"/>
        <v>0</v>
      </c>
      <c r="T691" s="49">
        <f t="shared" ca="1" si="477"/>
        <v>0</v>
      </c>
      <c r="U691" s="49">
        <f t="shared" ca="1" si="478"/>
        <v>0</v>
      </c>
    </row>
    <row r="692" spans="1:21" ht="18.75" hidden="1" x14ac:dyDescent="0.25">
      <c r="A692" s="129"/>
      <c r="B692" s="160"/>
      <c r="C692" s="160"/>
      <c r="D692" s="146"/>
      <c r="E692" s="48" t="s">
        <v>163</v>
      </c>
      <c r="F692" s="41"/>
      <c r="G692" s="43"/>
      <c r="H692" s="135" t="s">
        <v>14</v>
      </c>
      <c r="I692" s="45"/>
      <c r="J692" s="45"/>
      <c r="K692" s="46"/>
      <c r="L692" s="47">
        <f t="shared" ref="L692:N692" ca="1" si="481">L695+L698</f>
        <v>0</v>
      </c>
      <c r="M692" s="47">
        <f t="shared" ca="1" si="481"/>
        <v>0</v>
      </c>
      <c r="N692" s="47">
        <f t="shared" ca="1" si="481"/>
        <v>0</v>
      </c>
      <c r="O692" s="47">
        <f t="shared" ca="1" si="474"/>
        <v>0</v>
      </c>
      <c r="P692" s="47">
        <f t="shared" ca="1" si="475"/>
        <v>0</v>
      </c>
      <c r="Q692" s="47">
        <f t="shared" ref="Q692:S692" ca="1" si="482">Q695+Q698</f>
        <v>865550</v>
      </c>
      <c r="R692" s="47">
        <f t="shared" ca="1" si="482"/>
        <v>758748.34</v>
      </c>
      <c r="S692" s="47">
        <f t="shared" ca="1" si="482"/>
        <v>415592.48</v>
      </c>
      <c r="T692" s="47">
        <f t="shared" ca="1" si="477"/>
        <v>48.014843740973944</v>
      </c>
      <c r="U692" s="47">
        <f t="shared" ca="1" si="478"/>
        <v>54.773428565260524</v>
      </c>
    </row>
    <row r="693" spans="1:21" ht="18.75" x14ac:dyDescent="0.25">
      <c r="A693" s="129"/>
      <c r="B693" s="160"/>
      <c r="C693" s="160"/>
      <c r="D693" s="42" t="s">
        <v>22</v>
      </c>
      <c r="E693" s="41"/>
      <c r="F693" s="41"/>
      <c r="G693" s="43"/>
      <c r="H693" s="135" t="s">
        <v>14</v>
      </c>
      <c r="I693" s="136"/>
      <c r="J693" s="136"/>
      <c r="K693" s="137"/>
      <c r="L693" s="47">
        <f t="shared" ref="L693:N693" ca="1" si="483">L694+L695</f>
        <v>0</v>
      </c>
      <c r="M693" s="47">
        <f t="shared" ca="1" si="483"/>
        <v>0</v>
      </c>
      <c r="N693" s="47">
        <f t="shared" ca="1" si="483"/>
        <v>0</v>
      </c>
      <c r="O693" s="47">
        <f t="shared" ca="1" si="474"/>
        <v>0</v>
      </c>
      <c r="P693" s="47">
        <f t="shared" ca="1" si="475"/>
        <v>0</v>
      </c>
      <c r="Q693" s="47">
        <f t="shared" ref="Q693:S693" ca="1" si="484">Q694+Q695</f>
        <v>865550</v>
      </c>
      <c r="R693" s="47">
        <f t="shared" ca="1" si="484"/>
        <v>758748.34</v>
      </c>
      <c r="S693" s="47">
        <f t="shared" ca="1" si="484"/>
        <v>415592.48</v>
      </c>
      <c r="T693" s="47">
        <f t="shared" ca="1" si="477"/>
        <v>48.014843740973944</v>
      </c>
      <c r="U693" s="47">
        <f t="shared" ca="1" si="478"/>
        <v>54.773428565260524</v>
      </c>
    </row>
    <row r="694" spans="1:21" ht="18.75" hidden="1" x14ac:dyDescent="0.25">
      <c r="A694" s="129"/>
      <c r="B694" s="160"/>
      <c r="C694" s="160"/>
      <c r="D694" s="146"/>
      <c r="E694" s="158" t="s">
        <v>162</v>
      </c>
      <c r="F694" s="41"/>
      <c r="G694" s="43"/>
      <c r="H694" s="161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4"/>
        <v>0</v>
      </c>
      <c r="P694" s="49">
        <f t="shared" ca="1" si="475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7"/>
        <v>0</v>
      </c>
      <c r="U694" s="49">
        <f t="shared" ca="1" si="478"/>
        <v>0</v>
      </c>
    </row>
    <row r="695" spans="1:21" ht="18.75" hidden="1" x14ac:dyDescent="0.25">
      <c r="A695" s="129"/>
      <c r="B695" s="160"/>
      <c r="C695" s="160"/>
      <c r="D695" s="146"/>
      <c r="E695" s="48" t="s">
        <v>163</v>
      </c>
      <c r="F695" s="41"/>
      <c r="G695" s="43"/>
      <c r="H695" s="135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4"/>
        <v>0</v>
      </c>
      <c r="P695" s="47">
        <f t="shared" ca="1" si="475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758748.34)</f>
        <v>758748.34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415592.48)</f>
        <v>415592.48</v>
      </c>
      <c r="T695" s="47">
        <f t="shared" ca="1" si="477"/>
        <v>48.014843740973944</v>
      </c>
      <c r="U695" s="47">
        <f t="shared" ca="1" si="478"/>
        <v>54.773428565260524</v>
      </c>
    </row>
    <row r="696" spans="1:21" ht="18.75" x14ac:dyDescent="0.25">
      <c r="A696" s="129"/>
      <c r="B696" s="160"/>
      <c r="C696" s="160"/>
      <c r="D696" s="42" t="s">
        <v>23</v>
      </c>
      <c r="E696" s="41"/>
      <c r="F696" s="41"/>
      <c r="G696" s="43"/>
      <c r="H696" s="138" t="s">
        <v>14</v>
      </c>
      <c r="I696" s="136"/>
      <c r="J696" s="136"/>
      <c r="K696" s="137"/>
      <c r="L696" s="47">
        <f t="shared" ref="L696:N696" ca="1" si="485">L697+L698</f>
        <v>0</v>
      </c>
      <c r="M696" s="47">
        <f t="shared" ca="1" si="485"/>
        <v>0</v>
      </c>
      <c r="N696" s="47">
        <f t="shared" ca="1" si="485"/>
        <v>0</v>
      </c>
      <c r="O696" s="47">
        <f t="shared" ca="1" si="474"/>
        <v>0</v>
      </c>
      <c r="P696" s="47">
        <f t="shared" ca="1" si="475"/>
        <v>0</v>
      </c>
      <c r="Q696" s="47">
        <f t="shared" ref="Q696:S696" ca="1" si="486">Q697+Q698</f>
        <v>0</v>
      </c>
      <c r="R696" s="47">
        <f t="shared" ca="1" si="486"/>
        <v>0</v>
      </c>
      <c r="S696" s="47">
        <f t="shared" ca="1" si="486"/>
        <v>0</v>
      </c>
      <c r="T696" s="47">
        <f t="shared" ca="1" si="477"/>
        <v>0</v>
      </c>
      <c r="U696" s="47">
        <f t="shared" ca="1" si="478"/>
        <v>0</v>
      </c>
    </row>
    <row r="697" spans="1:21" ht="18.75" hidden="1" x14ac:dyDescent="0.25">
      <c r="A697" s="129"/>
      <c r="B697" s="160"/>
      <c r="C697" s="160"/>
      <c r="D697" s="41"/>
      <c r="E697" s="158" t="s">
        <v>20</v>
      </c>
      <c r="F697" s="41"/>
      <c r="G697" s="43"/>
      <c r="H697" s="161" t="s">
        <v>14</v>
      </c>
      <c r="I697" s="136"/>
      <c r="J697" s="136"/>
      <c r="K697" s="137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4"/>
        <v>0</v>
      </c>
      <c r="P697" s="49">
        <f t="shared" ca="1" si="475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7"/>
        <v>0</v>
      </c>
      <c r="U697" s="49">
        <f t="shared" ca="1" si="478"/>
        <v>0</v>
      </c>
    </row>
    <row r="698" spans="1:21" ht="18.75" hidden="1" x14ac:dyDescent="0.25">
      <c r="A698" s="129"/>
      <c r="B698" s="160"/>
      <c r="C698" s="160"/>
      <c r="D698" s="41"/>
      <c r="E698" s="48" t="s">
        <v>21</v>
      </c>
      <c r="F698" s="41"/>
      <c r="G698" s="43"/>
      <c r="H698" s="138" t="s">
        <v>14</v>
      </c>
      <c r="I698" s="136"/>
      <c r="J698" s="136"/>
      <c r="K698" s="137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4"/>
        <v>0</v>
      </c>
      <c r="P698" s="47">
        <f t="shared" ca="1" si="475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7"/>
        <v>0</v>
      </c>
      <c r="U698" s="47">
        <f t="shared" ca="1" si="478"/>
        <v>0</v>
      </c>
    </row>
    <row r="699" spans="1:21" ht="19.5" x14ac:dyDescent="0.3">
      <c r="A699" s="139"/>
      <c r="B699" s="140"/>
      <c r="C699" s="191" t="s">
        <v>18</v>
      </c>
      <c r="D699" s="141" t="s">
        <v>38</v>
      </c>
      <c r="E699" s="142"/>
      <c r="F699" s="142"/>
      <c r="G699" s="142"/>
      <c r="H699" s="192"/>
      <c r="I699" s="136"/>
      <c r="J699" s="136"/>
      <c r="K699" s="137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46"/>
      <c r="E700" s="145" t="s">
        <v>263</v>
      </c>
      <c r="F700" s="146"/>
      <c r="G700" s="144"/>
      <c r="H700" s="138" t="s">
        <v>264</v>
      </c>
      <c r="I700" s="153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3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4">
        <f t="shared" ref="K700:K710" ca="1" si="487">IF(I700&gt;0,J700*100/I700,0)</f>
        <v>0</v>
      </c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</row>
    <row r="701" spans="1:21" ht="19.5" x14ac:dyDescent="0.3">
      <c r="A701" s="225"/>
      <c r="B701" s="160"/>
      <c r="C701" s="160"/>
      <c r="D701" s="146"/>
      <c r="E701" s="506" t="s">
        <v>265</v>
      </c>
      <c r="F701" s="146"/>
      <c r="G701" s="144"/>
      <c r="H701" s="132" t="s">
        <v>35</v>
      </c>
      <c r="I701" s="148">
        <f t="shared" ref="I701:J701" ca="1" si="488">I703+I705</f>
        <v>163</v>
      </c>
      <c r="J701" s="148">
        <f t="shared" ca="1" si="488"/>
        <v>104</v>
      </c>
      <c r="K701" s="133">
        <f t="shared" ca="1" si="487"/>
        <v>63.803680981595093</v>
      </c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46"/>
      <c r="E702" s="146"/>
      <c r="F702" s="146"/>
      <c r="G702" s="144"/>
      <c r="H702" s="132" t="s">
        <v>46</v>
      </c>
      <c r="I702" s="148">
        <v>0</v>
      </c>
      <c r="J702" s="148">
        <f ca="1">J704+J706</f>
        <v>8.2799999999999994</v>
      </c>
      <c r="K702" s="133">
        <f t="shared" si="487"/>
        <v>0</v>
      </c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46"/>
      <c r="E703" s="146"/>
      <c r="F703" s="145" t="s">
        <v>266</v>
      </c>
      <c r="G703" s="144"/>
      <c r="H703" s="138" t="s">
        <v>35</v>
      </c>
      <c r="I703" s="153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126)</f>
        <v>126</v>
      </c>
      <c r="J703" s="153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38)</f>
        <v>38</v>
      </c>
      <c r="K703" s="47">
        <f t="shared" ca="1" si="487"/>
        <v>30.158730158730158</v>
      </c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46"/>
      <c r="E704" s="146"/>
      <c r="F704" s="146"/>
      <c r="G704" s="144"/>
      <c r="H704" s="138" t="s">
        <v>46</v>
      </c>
      <c r="I704" s="153">
        <v>0</v>
      </c>
      <c r="J704" s="153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8.28)</f>
        <v>8.2799999999999994</v>
      </c>
      <c r="K704" s="47">
        <f t="shared" si="487"/>
        <v>0</v>
      </c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46"/>
      <c r="E705" s="146"/>
      <c r="F705" s="145" t="s">
        <v>267</v>
      </c>
      <c r="G705" s="144"/>
      <c r="H705" s="138" t="s">
        <v>35</v>
      </c>
      <c r="I705" s="153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3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66)</f>
        <v>66</v>
      </c>
      <c r="K705" s="154">
        <f t="shared" ca="1" si="487"/>
        <v>178.37837837837839</v>
      </c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46"/>
      <c r="E706" s="146"/>
      <c r="F706" s="146"/>
      <c r="G706" s="144"/>
      <c r="H706" s="138" t="s">
        <v>46</v>
      </c>
      <c r="I706" s="153">
        <v>0</v>
      </c>
      <c r="J706" s="153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7"/>
        <v>0</v>
      </c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46"/>
      <c r="E707" s="145" t="s">
        <v>268</v>
      </c>
      <c r="F707" s="146"/>
      <c r="G707" s="144"/>
      <c r="H707" s="135" t="s">
        <v>35</v>
      </c>
      <c r="I707" s="153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126)</f>
        <v>126</v>
      </c>
      <c r="J707" s="153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38)</f>
        <v>38</v>
      </c>
      <c r="K707" s="47">
        <f t="shared" ca="1" si="487"/>
        <v>30.158730158730158</v>
      </c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46"/>
      <c r="E708" s="507" t="s">
        <v>269</v>
      </c>
      <c r="F708" s="146"/>
      <c r="G708" s="144"/>
      <c r="H708" s="135" t="s">
        <v>46</v>
      </c>
      <c r="I708" s="153">
        <v>0</v>
      </c>
      <c r="J708" s="153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8.21)</f>
        <v>8.2100000000000009</v>
      </c>
      <c r="K708" s="47">
        <f t="shared" si="487"/>
        <v>0</v>
      </c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41"/>
      <c r="E709" s="48" t="s">
        <v>270</v>
      </c>
      <c r="F709" s="41"/>
      <c r="G709" s="43"/>
      <c r="H709" s="189" t="s">
        <v>35</v>
      </c>
      <c r="I709" s="153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3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66)</f>
        <v>66</v>
      </c>
      <c r="K709" s="47">
        <f t="shared" ca="1" si="487"/>
        <v>178.37837837837839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41"/>
      <c r="E710" s="507" t="s">
        <v>271</v>
      </c>
      <c r="F710" s="41"/>
      <c r="G710" s="43"/>
      <c r="H710" s="189" t="s">
        <v>46</v>
      </c>
      <c r="I710" s="153">
        <v>0</v>
      </c>
      <c r="J710" s="153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7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357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476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482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476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482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55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133">
        <f t="shared" ref="L714:N714" ca="1" si="489">L715+L716</f>
        <v>0</v>
      </c>
      <c r="M714" s="133">
        <f t="shared" ca="1" si="489"/>
        <v>0</v>
      </c>
      <c r="N714" s="133">
        <f t="shared" ca="1" si="489"/>
        <v>0</v>
      </c>
      <c r="O714" s="133">
        <f t="shared" ref="O714:O722" ca="1" si="490">IF(L714&gt;0,N714*100/L714,0)</f>
        <v>0</v>
      </c>
      <c r="P714" s="133">
        <f t="shared" ref="P714:P722" ca="1" si="491">IF(M714&gt;0,N714*100/M714,0)</f>
        <v>0</v>
      </c>
      <c r="Q714" s="133">
        <f t="shared" ref="Q714:S714" ca="1" si="492">Q715+Q716</f>
        <v>0</v>
      </c>
      <c r="R714" s="133">
        <f t="shared" ca="1" si="492"/>
        <v>0</v>
      </c>
      <c r="S714" s="133">
        <f t="shared" ca="1" si="492"/>
        <v>0</v>
      </c>
      <c r="T714" s="133">
        <f t="shared" ref="T714:T722" ca="1" si="493">IF(Q714&gt;0,S714*100/Q714,0)</f>
        <v>0</v>
      </c>
      <c r="U714" s="133">
        <f t="shared" ref="U714:U722" ca="1" si="494">IF(R714&gt;0,S714*100/R714,0)</f>
        <v>0</v>
      </c>
    </row>
    <row r="715" spans="1:21" ht="18.75" hidden="1" x14ac:dyDescent="0.25">
      <c r="A715" s="129"/>
      <c r="B715" s="160"/>
      <c r="C715" s="160"/>
      <c r="D715" s="146"/>
      <c r="E715" s="158" t="s">
        <v>162</v>
      </c>
      <c r="F715" s="41"/>
      <c r="G715" s="43"/>
      <c r="H715" s="161" t="s">
        <v>14</v>
      </c>
      <c r="I715" s="45"/>
      <c r="J715" s="45"/>
      <c r="K715" s="46"/>
      <c r="L715" s="49">
        <f t="shared" ref="L715:N715" ca="1" si="495">L718+L721</f>
        <v>0</v>
      </c>
      <c r="M715" s="49">
        <f t="shared" ca="1" si="495"/>
        <v>0</v>
      </c>
      <c r="N715" s="49">
        <f t="shared" ca="1" si="495"/>
        <v>0</v>
      </c>
      <c r="O715" s="49">
        <f t="shared" ca="1" si="490"/>
        <v>0</v>
      </c>
      <c r="P715" s="49">
        <f t="shared" ca="1" si="491"/>
        <v>0</v>
      </c>
      <c r="Q715" s="49">
        <f t="shared" ref="Q715:S715" ca="1" si="496">Q718+Q721</f>
        <v>0</v>
      </c>
      <c r="R715" s="49">
        <f t="shared" ca="1" si="496"/>
        <v>0</v>
      </c>
      <c r="S715" s="49">
        <f t="shared" ca="1" si="496"/>
        <v>0</v>
      </c>
      <c r="T715" s="49">
        <f t="shared" ca="1" si="493"/>
        <v>0</v>
      </c>
      <c r="U715" s="49">
        <f t="shared" ca="1" si="494"/>
        <v>0</v>
      </c>
    </row>
    <row r="716" spans="1:21" ht="18.75" hidden="1" x14ac:dyDescent="0.25">
      <c r="A716" s="129"/>
      <c r="B716" s="160"/>
      <c r="C716" s="160"/>
      <c r="D716" s="146"/>
      <c r="E716" s="158" t="s">
        <v>163</v>
      </c>
      <c r="F716" s="41"/>
      <c r="G716" s="43"/>
      <c r="H716" s="161" t="s">
        <v>14</v>
      </c>
      <c r="I716" s="45"/>
      <c r="J716" s="45"/>
      <c r="K716" s="46"/>
      <c r="L716" s="47">
        <f t="shared" ref="L716:N716" ca="1" si="497">L719+L722</f>
        <v>0</v>
      </c>
      <c r="M716" s="47">
        <f t="shared" ca="1" si="497"/>
        <v>0</v>
      </c>
      <c r="N716" s="47">
        <f t="shared" ca="1" si="497"/>
        <v>0</v>
      </c>
      <c r="O716" s="47">
        <f t="shared" ca="1" si="490"/>
        <v>0</v>
      </c>
      <c r="P716" s="47">
        <f t="shared" ca="1" si="491"/>
        <v>0</v>
      </c>
      <c r="Q716" s="47">
        <f t="shared" ref="Q716:S716" ca="1" si="498">Q719+Q722</f>
        <v>0</v>
      </c>
      <c r="R716" s="47">
        <f t="shared" ca="1" si="498"/>
        <v>0</v>
      </c>
      <c r="S716" s="47">
        <f t="shared" ca="1" si="498"/>
        <v>0</v>
      </c>
      <c r="T716" s="47">
        <f t="shared" ca="1" si="493"/>
        <v>0</v>
      </c>
      <c r="U716" s="47">
        <f t="shared" ca="1" si="494"/>
        <v>0</v>
      </c>
    </row>
    <row r="717" spans="1:21" ht="19.5" hidden="1" x14ac:dyDescent="0.3">
      <c r="A717" s="129"/>
      <c r="B717" s="160"/>
      <c r="C717" s="160"/>
      <c r="D717" s="513" t="s">
        <v>22</v>
      </c>
      <c r="E717" s="41"/>
      <c r="F717" s="41"/>
      <c r="G717" s="43"/>
      <c r="H717" s="512" t="s">
        <v>14</v>
      </c>
      <c r="I717" s="136"/>
      <c r="J717" s="136"/>
      <c r="K717" s="137"/>
      <c r="L717" s="47">
        <f t="shared" ref="L717:N717" ca="1" si="499">L718+L719</f>
        <v>0</v>
      </c>
      <c r="M717" s="47">
        <f t="shared" ca="1" si="499"/>
        <v>0</v>
      </c>
      <c r="N717" s="47">
        <f t="shared" ca="1" si="499"/>
        <v>0</v>
      </c>
      <c r="O717" s="47">
        <f t="shared" ca="1" si="490"/>
        <v>0</v>
      </c>
      <c r="P717" s="47">
        <f t="shared" ca="1" si="491"/>
        <v>0</v>
      </c>
      <c r="Q717" s="47">
        <f t="shared" ref="Q717:S717" ca="1" si="500">Q718+Q719</f>
        <v>0</v>
      </c>
      <c r="R717" s="47">
        <f t="shared" ca="1" si="500"/>
        <v>0</v>
      </c>
      <c r="S717" s="47">
        <f t="shared" ca="1" si="500"/>
        <v>0</v>
      </c>
      <c r="T717" s="47">
        <f t="shared" ca="1" si="493"/>
        <v>0</v>
      </c>
      <c r="U717" s="47">
        <f t="shared" ca="1" si="494"/>
        <v>0</v>
      </c>
    </row>
    <row r="718" spans="1:21" ht="18.75" hidden="1" x14ac:dyDescent="0.25">
      <c r="A718" s="129"/>
      <c r="B718" s="160"/>
      <c r="C718" s="160"/>
      <c r="D718" s="146"/>
      <c r="E718" s="158" t="s">
        <v>162</v>
      </c>
      <c r="F718" s="41"/>
      <c r="G718" s="43"/>
      <c r="H718" s="161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90"/>
        <v>0</v>
      </c>
      <c r="P718" s="49">
        <f t="shared" ca="1" si="491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3"/>
        <v>0</v>
      </c>
      <c r="U718" s="49">
        <f t="shared" ca="1" si="494"/>
        <v>0</v>
      </c>
    </row>
    <row r="719" spans="1:21" ht="18.75" hidden="1" x14ac:dyDescent="0.25">
      <c r="A719" s="129"/>
      <c r="B719" s="160"/>
      <c r="C719" s="160"/>
      <c r="D719" s="146"/>
      <c r="E719" s="158" t="s">
        <v>163</v>
      </c>
      <c r="F719" s="41"/>
      <c r="G719" s="43"/>
      <c r="H719" s="161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90"/>
        <v>0</v>
      </c>
      <c r="P719" s="47">
        <f t="shared" ca="1" si="491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3"/>
        <v>0</v>
      </c>
      <c r="U719" s="47">
        <f t="shared" ca="1" si="494"/>
        <v>0</v>
      </c>
    </row>
    <row r="720" spans="1:21" ht="19.5" hidden="1" x14ac:dyDescent="0.3">
      <c r="A720" s="129"/>
      <c r="B720" s="160"/>
      <c r="C720" s="160"/>
      <c r="D720" s="513" t="s">
        <v>23</v>
      </c>
      <c r="E720" s="41"/>
      <c r="F720" s="41"/>
      <c r="G720" s="43"/>
      <c r="H720" s="514" t="s">
        <v>14</v>
      </c>
      <c r="I720" s="136"/>
      <c r="J720" s="136"/>
      <c r="K720" s="137"/>
      <c r="L720" s="47">
        <f t="shared" ref="L720:N720" ca="1" si="501">L721+L722</f>
        <v>0</v>
      </c>
      <c r="M720" s="47">
        <f t="shared" ca="1" si="501"/>
        <v>0</v>
      </c>
      <c r="N720" s="47">
        <f t="shared" ca="1" si="501"/>
        <v>0</v>
      </c>
      <c r="O720" s="47">
        <f t="shared" ca="1" si="490"/>
        <v>0</v>
      </c>
      <c r="P720" s="47">
        <f t="shared" ca="1" si="491"/>
        <v>0</v>
      </c>
      <c r="Q720" s="47">
        <f t="shared" ref="Q720:S720" ca="1" si="502">Q721+Q722</f>
        <v>0</v>
      </c>
      <c r="R720" s="47">
        <f t="shared" ca="1" si="502"/>
        <v>0</v>
      </c>
      <c r="S720" s="47">
        <f t="shared" ca="1" si="502"/>
        <v>0</v>
      </c>
      <c r="T720" s="47">
        <f t="shared" ca="1" si="493"/>
        <v>0</v>
      </c>
      <c r="U720" s="47">
        <f t="shared" ca="1" si="494"/>
        <v>0</v>
      </c>
    </row>
    <row r="721" spans="1:21" ht="18.75" hidden="1" x14ac:dyDescent="0.25">
      <c r="A721" s="129"/>
      <c r="B721" s="160"/>
      <c r="C721" s="160"/>
      <c r="D721" s="41"/>
      <c r="E721" s="158" t="s">
        <v>20</v>
      </c>
      <c r="F721" s="41"/>
      <c r="G721" s="43"/>
      <c r="H721" s="161" t="s">
        <v>14</v>
      </c>
      <c r="I721" s="136"/>
      <c r="J721" s="136"/>
      <c r="K721" s="137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90"/>
        <v>0</v>
      </c>
      <c r="P721" s="49">
        <f t="shared" ca="1" si="491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3"/>
        <v>0</v>
      </c>
      <c r="U721" s="49">
        <f t="shared" ca="1" si="494"/>
        <v>0</v>
      </c>
    </row>
    <row r="722" spans="1:21" ht="18.75" hidden="1" x14ac:dyDescent="0.25">
      <c r="A722" s="129"/>
      <c r="B722" s="160"/>
      <c r="C722" s="160"/>
      <c r="D722" s="41"/>
      <c r="E722" s="158" t="s">
        <v>21</v>
      </c>
      <c r="F722" s="41"/>
      <c r="G722" s="43"/>
      <c r="H722" s="515" t="s">
        <v>14</v>
      </c>
      <c r="I722" s="136"/>
      <c r="J722" s="136"/>
      <c r="K722" s="137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90"/>
        <v>0</v>
      </c>
      <c r="P722" s="47">
        <f t="shared" ca="1" si="491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3"/>
        <v>0</v>
      </c>
      <c r="U722" s="47">
        <f t="shared" ca="1" si="494"/>
        <v>0</v>
      </c>
    </row>
    <row r="723" spans="1:21" ht="19.5" hidden="1" x14ac:dyDescent="0.3">
      <c r="A723" s="139"/>
      <c r="B723" s="140"/>
      <c r="C723" s="511" t="s">
        <v>18</v>
      </c>
      <c r="D723" s="516" t="s">
        <v>38</v>
      </c>
      <c r="E723" s="142"/>
      <c r="F723" s="142"/>
      <c r="G723" s="143"/>
      <c r="H723" s="192"/>
      <c r="I723" s="136"/>
      <c r="J723" s="136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41"/>
      <c r="E724" s="158" t="s">
        <v>274</v>
      </c>
      <c r="F724" s="41"/>
      <c r="G724" s="43"/>
      <c r="H724" s="161" t="s">
        <v>46</v>
      </c>
      <c r="I724" s="517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76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504">
        <f ca="1">J742+J746+J749</f>
        <v>278</v>
      </c>
      <c r="K726" s="505">
        <f t="shared" ref="K726:K727" ca="1" si="503">IF(I726&gt;0,J726*100/I726,0)</f>
        <v>97.887323943661968</v>
      </c>
      <c r="L726" s="482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504">
        <f ca="1">J752+J755</f>
        <v>2620</v>
      </c>
      <c r="K727" s="505">
        <f t="shared" ca="1" si="503"/>
        <v>97.037037037037038</v>
      </c>
      <c r="L727" s="482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191" t="s">
        <v>18</v>
      </c>
      <c r="D728" s="554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133">
        <f t="shared" ref="L728:N728" ca="1" si="504">L729+L730</f>
        <v>0</v>
      </c>
      <c r="M728" s="133">
        <f t="shared" ca="1" si="504"/>
        <v>0</v>
      </c>
      <c r="N728" s="133">
        <f t="shared" ca="1" si="504"/>
        <v>0</v>
      </c>
      <c r="O728" s="133">
        <f t="shared" ref="O728:O736" ca="1" si="505">IF(L728&gt;0,N728*100/L728,0)</f>
        <v>0</v>
      </c>
      <c r="P728" s="133">
        <f t="shared" ref="P728:P736" ca="1" si="506">IF(M728&gt;0,N728*100/M728,0)</f>
        <v>0</v>
      </c>
      <c r="Q728" s="133">
        <f t="shared" ref="Q728:S728" ca="1" si="507">Q729+Q730</f>
        <v>2422324</v>
      </c>
      <c r="R728" s="133">
        <f t="shared" ca="1" si="507"/>
        <v>2450554</v>
      </c>
      <c r="S728" s="133">
        <f t="shared" ca="1" si="507"/>
        <v>2349808.6</v>
      </c>
      <c r="T728" s="133">
        <f t="shared" ref="T728:T736" ca="1" si="508">IF(Q728&gt;0,S728*100/Q728,0)</f>
        <v>97.006370741486279</v>
      </c>
      <c r="U728" s="133">
        <f t="shared" ref="U728:U736" ca="1" si="509">IF(R728&gt;0,S728*100/R728,0)</f>
        <v>95.888872475366796</v>
      </c>
    </row>
    <row r="729" spans="1:21" ht="18.75" hidden="1" x14ac:dyDescent="0.25">
      <c r="A729" s="129"/>
      <c r="B729" s="160"/>
      <c r="C729" s="160"/>
      <c r="D729" s="146"/>
      <c r="E729" s="158" t="s">
        <v>162</v>
      </c>
      <c r="F729" s="41"/>
      <c r="G729" s="43"/>
      <c r="H729" s="161" t="s">
        <v>14</v>
      </c>
      <c r="I729" s="45"/>
      <c r="J729" s="45"/>
      <c r="K729" s="46"/>
      <c r="L729" s="49">
        <f t="shared" ref="L729:N729" ca="1" si="510">L732+L735</f>
        <v>0</v>
      </c>
      <c r="M729" s="49">
        <f t="shared" ca="1" si="510"/>
        <v>0</v>
      </c>
      <c r="N729" s="49">
        <f t="shared" ca="1" si="510"/>
        <v>0</v>
      </c>
      <c r="O729" s="49">
        <f t="shared" ca="1" si="505"/>
        <v>0</v>
      </c>
      <c r="P729" s="49">
        <f t="shared" ca="1" si="506"/>
        <v>0</v>
      </c>
      <c r="Q729" s="49">
        <f t="shared" ref="Q729:S729" ca="1" si="511">Q732+Q735</f>
        <v>0</v>
      </c>
      <c r="R729" s="49">
        <f t="shared" ca="1" si="511"/>
        <v>0</v>
      </c>
      <c r="S729" s="49">
        <f t="shared" ca="1" si="511"/>
        <v>0</v>
      </c>
      <c r="T729" s="49">
        <f t="shared" ca="1" si="508"/>
        <v>0</v>
      </c>
      <c r="U729" s="49">
        <f t="shared" ca="1" si="509"/>
        <v>0</v>
      </c>
    </row>
    <row r="730" spans="1:21" ht="18.75" hidden="1" x14ac:dyDescent="0.25">
      <c r="A730" s="129"/>
      <c r="B730" s="160"/>
      <c r="C730" s="160"/>
      <c r="D730" s="146"/>
      <c r="E730" s="48" t="s">
        <v>163</v>
      </c>
      <c r="F730" s="41"/>
      <c r="G730" s="43"/>
      <c r="H730" s="135" t="s">
        <v>14</v>
      </c>
      <c r="I730" s="45"/>
      <c r="J730" s="45"/>
      <c r="K730" s="46"/>
      <c r="L730" s="47">
        <f t="shared" ref="L730:N730" ca="1" si="512">L733+L736</f>
        <v>0</v>
      </c>
      <c r="M730" s="47">
        <f t="shared" ca="1" si="512"/>
        <v>0</v>
      </c>
      <c r="N730" s="47">
        <f t="shared" ca="1" si="512"/>
        <v>0</v>
      </c>
      <c r="O730" s="47">
        <f t="shared" ca="1" si="505"/>
        <v>0</v>
      </c>
      <c r="P730" s="47">
        <f t="shared" ca="1" si="506"/>
        <v>0</v>
      </c>
      <c r="Q730" s="47">
        <f t="shared" ref="Q730:S730" ca="1" si="513">Q733+Q736</f>
        <v>2422324</v>
      </c>
      <c r="R730" s="47">
        <f t="shared" ca="1" si="513"/>
        <v>2450554</v>
      </c>
      <c r="S730" s="47">
        <f t="shared" ca="1" si="513"/>
        <v>2349808.6</v>
      </c>
      <c r="T730" s="47">
        <f t="shared" ca="1" si="508"/>
        <v>97.006370741486279</v>
      </c>
      <c r="U730" s="47">
        <f t="shared" ca="1" si="509"/>
        <v>95.888872475366796</v>
      </c>
    </row>
    <row r="731" spans="1:21" ht="18.75" x14ac:dyDescent="0.25">
      <c r="A731" s="129"/>
      <c r="B731" s="160"/>
      <c r="C731" s="160"/>
      <c r="D731" s="42" t="s">
        <v>22</v>
      </c>
      <c r="E731" s="41"/>
      <c r="F731" s="41"/>
      <c r="G731" s="43"/>
      <c r="H731" s="135" t="s">
        <v>14</v>
      </c>
      <c r="I731" s="136"/>
      <c r="J731" s="136"/>
      <c r="K731" s="137"/>
      <c r="L731" s="47">
        <f t="shared" ref="L731:N731" ca="1" si="514">L732+L733</f>
        <v>0</v>
      </c>
      <c r="M731" s="47">
        <f t="shared" ca="1" si="514"/>
        <v>0</v>
      </c>
      <c r="N731" s="47">
        <f t="shared" ca="1" si="514"/>
        <v>0</v>
      </c>
      <c r="O731" s="47">
        <f t="shared" ca="1" si="505"/>
        <v>0</v>
      </c>
      <c r="P731" s="47">
        <f t="shared" ca="1" si="506"/>
        <v>0</v>
      </c>
      <c r="Q731" s="47">
        <f t="shared" ref="Q731:S731" ca="1" si="515">Q732+Q733</f>
        <v>2422324</v>
      </c>
      <c r="R731" s="47">
        <f t="shared" ca="1" si="515"/>
        <v>2450554</v>
      </c>
      <c r="S731" s="47">
        <f t="shared" ca="1" si="515"/>
        <v>2349808.6</v>
      </c>
      <c r="T731" s="47">
        <f t="shared" ca="1" si="508"/>
        <v>97.006370741486279</v>
      </c>
      <c r="U731" s="47">
        <f t="shared" ca="1" si="509"/>
        <v>95.888872475366796</v>
      </c>
    </row>
    <row r="732" spans="1:21" ht="18.75" hidden="1" x14ac:dyDescent="0.25">
      <c r="A732" s="129"/>
      <c r="B732" s="160"/>
      <c r="C732" s="160"/>
      <c r="D732" s="146"/>
      <c r="E732" s="158" t="s">
        <v>162</v>
      </c>
      <c r="F732" s="41"/>
      <c r="G732" s="43"/>
      <c r="H732" s="161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5"/>
        <v>0</v>
      </c>
      <c r="P732" s="49">
        <f t="shared" ca="1" si="506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8"/>
        <v>0</v>
      </c>
      <c r="U732" s="49">
        <f t="shared" ca="1" si="509"/>
        <v>0</v>
      </c>
    </row>
    <row r="733" spans="1:21" ht="18.75" hidden="1" x14ac:dyDescent="0.25">
      <c r="A733" s="129"/>
      <c r="B733" s="160"/>
      <c r="C733" s="160"/>
      <c r="D733" s="146"/>
      <c r="E733" s="48" t="s">
        <v>163</v>
      </c>
      <c r="F733" s="41"/>
      <c r="G733" s="43"/>
      <c r="H733" s="135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5"/>
        <v>0</v>
      </c>
      <c r="P733" s="47">
        <f t="shared" ca="1" si="506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2450554)</f>
        <v>2450554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2349808.6)</f>
        <v>2349808.6</v>
      </c>
      <c r="T733" s="47">
        <f t="shared" ca="1" si="508"/>
        <v>97.006370741486279</v>
      </c>
      <c r="U733" s="47">
        <f t="shared" ca="1" si="509"/>
        <v>95.888872475366796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47">
        <f t="shared" ref="L734:N734" ca="1" si="516">L735+L736</f>
        <v>0</v>
      </c>
      <c r="M734" s="47">
        <f t="shared" ca="1" si="516"/>
        <v>0</v>
      </c>
      <c r="N734" s="47">
        <f t="shared" ca="1" si="516"/>
        <v>0</v>
      </c>
      <c r="O734" s="47">
        <f t="shared" ca="1" si="505"/>
        <v>0</v>
      </c>
      <c r="P734" s="47">
        <f t="shared" ca="1" si="506"/>
        <v>0</v>
      </c>
      <c r="Q734" s="47">
        <f t="shared" ref="Q734:S734" ca="1" si="517">Q735+Q736</f>
        <v>0</v>
      </c>
      <c r="R734" s="47">
        <f t="shared" ca="1" si="517"/>
        <v>0</v>
      </c>
      <c r="S734" s="47">
        <f t="shared" ca="1" si="517"/>
        <v>0</v>
      </c>
      <c r="T734" s="47">
        <f t="shared" ca="1" si="508"/>
        <v>0</v>
      </c>
      <c r="U734" s="47">
        <f t="shared" ca="1" si="509"/>
        <v>0</v>
      </c>
    </row>
    <row r="735" spans="1:21" ht="18.75" hidden="1" x14ac:dyDescent="0.25">
      <c r="A735" s="129"/>
      <c r="B735" s="160"/>
      <c r="C735" s="160"/>
      <c r="D735" s="160"/>
      <c r="E735" s="365" t="s">
        <v>20</v>
      </c>
      <c r="F735" s="160"/>
      <c r="G735" s="43"/>
      <c r="H735" s="161" t="s">
        <v>14</v>
      </c>
      <c r="I735" s="136"/>
      <c r="J735" s="136"/>
      <c r="K735" s="137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5"/>
        <v>0</v>
      </c>
      <c r="P735" s="49">
        <f t="shared" ca="1" si="506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8"/>
        <v>0</v>
      </c>
      <c r="U735" s="49">
        <f t="shared" ca="1" si="509"/>
        <v>0</v>
      </c>
    </row>
    <row r="736" spans="1:21" ht="18.75" hidden="1" x14ac:dyDescent="0.25">
      <c r="A736" s="129"/>
      <c r="B736" s="160"/>
      <c r="C736" s="160"/>
      <c r="D736" s="160"/>
      <c r="E736" s="226" t="s">
        <v>21</v>
      </c>
      <c r="F736" s="160"/>
      <c r="G736" s="43"/>
      <c r="H736" s="138" t="s">
        <v>14</v>
      </c>
      <c r="I736" s="136"/>
      <c r="J736" s="136"/>
      <c r="K736" s="137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5"/>
        <v>0</v>
      </c>
      <c r="P736" s="47">
        <f t="shared" ca="1" si="506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8"/>
        <v>0</v>
      </c>
      <c r="U736" s="47">
        <f t="shared" ca="1" si="509"/>
        <v>0</v>
      </c>
    </row>
    <row r="737" spans="1:21" ht="19.5" x14ac:dyDescent="0.3">
      <c r="A737" s="139"/>
      <c r="B737" s="140"/>
      <c r="C737" s="191" t="s">
        <v>18</v>
      </c>
      <c r="D737" s="346" t="s">
        <v>38</v>
      </c>
      <c r="E737" s="220"/>
      <c r="F737" s="142"/>
      <c r="G737" s="143"/>
      <c r="H737" s="192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9"/>
      <c r="B740" s="140"/>
      <c r="C740" s="140"/>
      <c r="D740" s="140"/>
      <c r="E740" s="140"/>
      <c r="F740" s="492" t="s">
        <v>278</v>
      </c>
      <c r="G740" s="144"/>
      <c r="H740" s="134" t="s">
        <v>46</v>
      </c>
      <c r="I740" s="153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9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2095)</f>
        <v>2095</v>
      </c>
      <c r="K740" s="47">
        <f ca="1">IF(I740&gt;0,J740*100/I740,0)</f>
        <v>96.990740740740748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9"/>
      <c r="B741" s="140"/>
      <c r="C741" s="140"/>
      <c r="D741" s="140"/>
      <c r="E741" s="140"/>
      <c r="F741" s="492" t="s">
        <v>279</v>
      </c>
      <c r="G741" s="144"/>
      <c r="H741" s="134" t="s">
        <v>35</v>
      </c>
      <c r="I741" s="45"/>
      <c r="J741" s="169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107)</f>
        <v>107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9"/>
      <c r="B742" s="140"/>
      <c r="C742" s="140"/>
      <c r="D742" s="140"/>
      <c r="E742" s="140"/>
      <c r="F742" s="492" t="s">
        <v>280</v>
      </c>
      <c r="G742" s="144"/>
      <c r="H742" s="134" t="s">
        <v>35</v>
      </c>
      <c r="I742" s="153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9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206)</f>
        <v>206</v>
      </c>
      <c r="K742" s="47">
        <f ca="1">IF(I742&gt;0,J742*100/I742,0)</f>
        <v>95.370370370370367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9"/>
      <c r="B743" s="140"/>
      <c r="C743" s="140"/>
      <c r="D743" s="140"/>
      <c r="E743" s="492" t="s">
        <v>281</v>
      </c>
      <c r="F743" s="140"/>
      <c r="G743" s="144"/>
      <c r="H743" s="194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9"/>
      <c r="B744" s="140"/>
      <c r="C744" s="140"/>
      <c r="D744" s="140"/>
      <c r="E744" s="140"/>
      <c r="F744" s="492" t="s">
        <v>278</v>
      </c>
      <c r="G744" s="144"/>
      <c r="H744" s="134" t="s">
        <v>46</v>
      </c>
      <c r="I744" s="153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9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525)</f>
        <v>525</v>
      </c>
      <c r="K744" s="47">
        <f ca="1">IF(I744&gt;0,J744*100/I744,0)</f>
        <v>97.222222222222229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9"/>
      <c r="B745" s="140"/>
      <c r="C745" s="140"/>
      <c r="D745" s="140"/>
      <c r="E745" s="140"/>
      <c r="F745" s="492" t="s">
        <v>282</v>
      </c>
      <c r="G745" s="144"/>
      <c r="H745" s="134" t="s">
        <v>35</v>
      </c>
      <c r="I745" s="45"/>
      <c r="J745" s="169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26)</f>
        <v>26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9"/>
      <c r="B746" s="140"/>
      <c r="C746" s="140"/>
      <c r="D746" s="140"/>
      <c r="E746" s="140"/>
      <c r="F746" s="492" t="s">
        <v>283</v>
      </c>
      <c r="G746" s="144"/>
      <c r="H746" s="134" t="s">
        <v>35</v>
      </c>
      <c r="I746" s="153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9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52)</f>
        <v>52</v>
      </c>
      <c r="K746" s="47">
        <f ca="1">IF(I746&gt;0,J746*100/I746,0)</f>
        <v>96.296296296296291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9"/>
      <c r="B747" s="140"/>
      <c r="C747" s="140"/>
      <c r="D747" s="140"/>
      <c r="E747" s="492" t="s">
        <v>284</v>
      </c>
      <c r="F747" s="146"/>
      <c r="G747" s="144"/>
      <c r="H747" s="194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9"/>
      <c r="B748" s="140"/>
      <c r="C748" s="140"/>
      <c r="D748" s="140"/>
      <c r="E748" s="140"/>
      <c r="F748" s="492" t="s">
        <v>285</v>
      </c>
      <c r="G748" s="144"/>
      <c r="H748" s="134" t="s">
        <v>35</v>
      </c>
      <c r="I748" s="45"/>
      <c r="J748" s="169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13)</f>
        <v>13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9"/>
      <c r="B749" s="140"/>
      <c r="C749" s="140"/>
      <c r="D749" s="140"/>
      <c r="E749" s="140"/>
      <c r="F749" s="492" t="s">
        <v>286</v>
      </c>
      <c r="G749" s="144"/>
      <c r="H749" s="134" t="s">
        <v>35</v>
      </c>
      <c r="I749" s="153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9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20)</f>
        <v>20</v>
      </c>
      <c r="K749" s="47">
        <f ca="1">IF(I749&gt;0,J749*100/I749,0)</f>
        <v>142.85714285714286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9"/>
      <c r="B750" s="140"/>
      <c r="C750" s="140"/>
      <c r="D750" s="522" t="s">
        <v>50</v>
      </c>
      <c r="E750" s="140"/>
      <c r="F750" s="146"/>
      <c r="G750" s="144"/>
      <c r="H750" s="194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9"/>
      <c r="B751" s="140"/>
      <c r="C751" s="140"/>
      <c r="D751" s="140"/>
      <c r="E751" s="492" t="s">
        <v>277</v>
      </c>
      <c r="F751" s="146"/>
      <c r="G751" s="144"/>
      <c r="H751" s="194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9"/>
      <c r="B752" s="140"/>
      <c r="C752" s="140"/>
      <c r="D752" s="140"/>
      <c r="E752" s="140"/>
      <c r="F752" s="168" t="s">
        <v>287</v>
      </c>
      <c r="G752" s="144"/>
      <c r="H752" s="134" t="s">
        <v>46</v>
      </c>
      <c r="I752" s="153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9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2095)</f>
        <v>2095</v>
      </c>
      <c r="K752" s="47">
        <f ca="1">IF(I752&gt;0,J752*100/I752,0)</f>
        <v>96.990740740740748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9"/>
      <c r="B753" s="140"/>
      <c r="C753" s="140"/>
      <c r="D753" s="140"/>
      <c r="E753" s="140"/>
      <c r="F753" s="168" t="s">
        <v>288</v>
      </c>
      <c r="G753" s="144"/>
      <c r="H753" s="134" t="s">
        <v>46</v>
      </c>
      <c r="I753" s="45"/>
      <c r="J753" s="169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996)</f>
        <v>996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9"/>
      <c r="B754" s="140"/>
      <c r="C754" s="140"/>
      <c r="D754" s="140"/>
      <c r="E754" s="492" t="s">
        <v>281</v>
      </c>
      <c r="F754" s="146"/>
      <c r="G754" s="144"/>
      <c r="H754" s="194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9"/>
      <c r="B755" s="140"/>
      <c r="C755" s="140"/>
      <c r="D755" s="140"/>
      <c r="E755" s="146"/>
      <c r="F755" s="168" t="s">
        <v>289</v>
      </c>
      <c r="G755" s="144"/>
      <c r="H755" s="134" t="s">
        <v>46</v>
      </c>
      <c r="I755" s="153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9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525)</f>
        <v>525</v>
      </c>
      <c r="K755" s="47">
        <f ca="1">IF(I755&gt;0,J755*100/I755,0)</f>
        <v>97.222222222222229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9"/>
      <c r="B756" s="140"/>
      <c r="C756" s="140"/>
      <c r="D756" s="140"/>
      <c r="E756" s="146"/>
      <c r="F756" s="168" t="s">
        <v>290</v>
      </c>
      <c r="G756" s="144"/>
      <c r="H756" s="134" t="s">
        <v>46</v>
      </c>
      <c r="I756" s="45"/>
      <c r="J756" s="169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310)</f>
        <v>310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72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0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476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518">I772</f>
        <v>240</v>
      </c>
      <c r="J758" s="504">
        <f t="shared" ca="1" si="518"/>
        <v>240</v>
      </c>
      <c r="K758" s="505">
        <f t="shared" ref="K758:K759" ca="1" si="519">IF(I758&gt;0,J758*100/I758,0)</f>
        <v>100</v>
      </c>
      <c r="L758" s="482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520">I774</f>
        <v>625</v>
      </c>
      <c r="J759" s="504">
        <f t="shared" ca="1" si="520"/>
        <v>625</v>
      </c>
      <c r="K759" s="505">
        <f t="shared" ca="1" si="519"/>
        <v>100</v>
      </c>
      <c r="L759" s="482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191" t="s">
        <v>18</v>
      </c>
      <c r="D760" s="554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133">
        <f t="shared" ref="L760:N760" ca="1" si="521">L761+L762</f>
        <v>0</v>
      </c>
      <c r="M760" s="133">
        <f t="shared" ca="1" si="521"/>
        <v>0</v>
      </c>
      <c r="N760" s="133">
        <f t="shared" ca="1" si="521"/>
        <v>0</v>
      </c>
      <c r="O760" s="133">
        <f t="shared" ref="O760:O768" ca="1" si="522">IF(L760&gt;0,N760*100/L760,0)</f>
        <v>0</v>
      </c>
      <c r="P760" s="133">
        <f t="shared" ref="P760:P768" ca="1" si="523">IF(M760&gt;0,N760*100/M760,0)</f>
        <v>0</v>
      </c>
      <c r="Q760" s="133">
        <f t="shared" ref="Q760:S760" ca="1" si="524">Q761+Q762</f>
        <v>2015140</v>
      </c>
      <c r="R760" s="133">
        <f t="shared" ca="1" si="524"/>
        <v>1951005</v>
      </c>
      <c r="S760" s="133">
        <f t="shared" ca="1" si="524"/>
        <v>1893222.8</v>
      </c>
      <c r="T760" s="133">
        <f t="shared" ref="T760:T768" ca="1" si="525">IF(Q760&gt;0,S760*100/Q760,0)</f>
        <v>93.949938962057232</v>
      </c>
      <c r="U760" s="133">
        <f t="shared" ref="U760:U768" ca="1" si="526">IF(R760&gt;0,S760*100/R760,0)</f>
        <v>97.038336652135698</v>
      </c>
    </row>
    <row r="761" spans="1:21" ht="18.75" hidden="1" x14ac:dyDescent="0.25">
      <c r="A761" s="129"/>
      <c r="B761" s="160"/>
      <c r="C761" s="160"/>
      <c r="D761" s="146"/>
      <c r="E761" s="158" t="s">
        <v>162</v>
      </c>
      <c r="F761" s="41"/>
      <c r="G761" s="43"/>
      <c r="H761" s="161" t="s">
        <v>14</v>
      </c>
      <c r="I761" s="45"/>
      <c r="J761" s="45"/>
      <c r="K761" s="46"/>
      <c r="L761" s="49">
        <f t="shared" ref="L761:N761" ca="1" si="527">L764+L767</f>
        <v>0</v>
      </c>
      <c r="M761" s="49">
        <f t="shared" ca="1" si="527"/>
        <v>0</v>
      </c>
      <c r="N761" s="49">
        <f t="shared" ca="1" si="527"/>
        <v>0</v>
      </c>
      <c r="O761" s="49">
        <f t="shared" ca="1" si="522"/>
        <v>0</v>
      </c>
      <c r="P761" s="49">
        <f t="shared" ca="1" si="523"/>
        <v>0</v>
      </c>
      <c r="Q761" s="49">
        <f t="shared" ref="Q761:S761" ca="1" si="528">Q764+Q767</f>
        <v>0</v>
      </c>
      <c r="R761" s="49">
        <f t="shared" ca="1" si="528"/>
        <v>0</v>
      </c>
      <c r="S761" s="49">
        <f t="shared" ca="1" si="528"/>
        <v>0</v>
      </c>
      <c r="T761" s="49">
        <f t="shared" ca="1" si="525"/>
        <v>0</v>
      </c>
      <c r="U761" s="49">
        <f t="shared" ca="1" si="526"/>
        <v>0</v>
      </c>
    </row>
    <row r="762" spans="1:21" ht="18.75" hidden="1" x14ac:dyDescent="0.25">
      <c r="A762" s="129"/>
      <c r="B762" s="160"/>
      <c r="C762" s="188"/>
      <c r="D762" s="146"/>
      <c r="E762" s="48" t="s">
        <v>163</v>
      </c>
      <c r="F762" s="41"/>
      <c r="G762" s="43"/>
      <c r="H762" s="135" t="s">
        <v>14</v>
      </c>
      <c r="I762" s="45"/>
      <c r="J762" s="45"/>
      <c r="K762" s="46"/>
      <c r="L762" s="47">
        <f t="shared" ref="L762:N762" ca="1" si="529">L765+L768</f>
        <v>0</v>
      </c>
      <c r="M762" s="47">
        <f t="shared" ca="1" si="529"/>
        <v>0</v>
      </c>
      <c r="N762" s="47">
        <f t="shared" ca="1" si="529"/>
        <v>0</v>
      </c>
      <c r="O762" s="47">
        <f t="shared" ca="1" si="522"/>
        <v>0</v>
      </c>
      <c r="P762" s="47">
        <f t="shared" ca="1" si="523"/>
        <v>0</v>
      </c>
      <c r="Q762" s="47">
        <f t="shared" ref="Q762:S762" ca="1" si="530">Q765+Q768</f>
        <v>2015140</v>
      </c>
      <c r="R762" s="47">
        <f t="shared" ca="1" si="530"/>
        <v>1951005</v>
      </c>
      <c r="S762" s="47">
        <f t="shared" ca="1" si="530"/>
        <v>1893222.8</v>
      </c>
      <c r="T762" s="47">
        <f t="shared" ca="1" si="525"/>
        <v>93.949938962057232</v>
      </c>
      <c r="U762" s="47">
        <f t="shared" ca="1" si="526"/>
        <v>97.038336652135698</v>
      </c>
    </row>
    <row r="763" spans="1:21" ht="18.75" x14ac:dyDescent="0.25">
      <c r="A763" s="129"/>
      <c r="B763" s="160"/>
      <c r="C763" s="188"/>
      <c r="D763" s="42" t="s">
        <v>22</v>
      </c>
      <c r="E763" s="41"/>
      <c r="F763" s="41"/>
      <c r="G763" s="43"/>
      <c r="H763" s="135" t="s">
        <v>14</v>
      </c>
      <c r="I763" s="136"/>
      <c r="J763" s="136"/>
      <c r="K763" s="137"/>
      <c r="L763" s="47">
        <f t="shared" ref="L763:N763" ca="1" si="531">L764+L765</f>
        <v>0</v>
      </c>
      <c r="M763" s="47">
        <f t="shared" ca="1" si="531"/>
        <v>0</v>
      </c>
      <c r="N763" s="47">
        <f t="shared" ca="1" si="531"/>
        <v>0</v>
      </c>
      <c r="O763" s="47">
        <f t="shared" ca="1" si="522"/>
        <v>0</v>
      </c>
      <c r="P763" s="47">
        <f t="shared" ca="1" si="523"/>
        <v>0</v>
      </c>
      <c r="Q763" s="47">
        <f t="shared" ref="Q763:S763" ca="1" si="532">Q764+Q765</f>
        <v>2015140</v>
      </c>
      <c r="R763" s="47">
        <f t="shared" ca="1" si="532"/>
        <v>1951005</v>
      </c>
      <c r="S763" s="47">
        <f t="shared" ca="1" si="532"/>
        <v>1893222.8</v>
      </c>
      <c r="T763" s="47">
        <f t="shared" ca="1" si="525"/>
        <v>93.949938962057232</v>
      </c>
      <c r="U763" s="47">
        <f t="shared" ca="1" si="526"/>
        <v>97.038336652135698</v>
      </c>
    </row>
    <row r="764" spans="1:21" ht="18.75" hidden="1" x14ac:dyDescent="0.25">
      <c r="A764" s="129"/>
      <c r="B764" s="160"/>
      <c r="C764" s="188"/>
      <c r="D764" s="146"/>
      <c r="E764" s="158" t="s">
        <v>162</v>
      </c>
      <c r="F764" s="41"/>
      <c r="G764" s="43"/>
      <c r="H764" s="161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2"/>
        <v>0</v>
      </c>
      <c r="P764" s="49">
        <f t="shared" ca="1" si="523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5"/>
        <v>0</v>
      </c>
      <c r="U764" s="49">
        <f t="shared" ca="1" si="526"/>
        <v>0</v>
      </c>
    </row>
    <row r="765" spans="1:21" ht="18.75" hidden="1" x14ac:dyDescent="0.25">
      <c r="A765" s="129"/>
      <c r="B765" s="160"/>
      <c r="C765" s="188"/>
      <c r="D765" s="146"/>
      <c r="E765" s="48" t="s">
        <v>163</v>
      </c>
      <c r="F765" s="41"/>
      <c r="G765" s="43"/>
      <c r="H765" s="135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2"/>
        <v>0</v>
      </c>
      <c r="P765" s="47">
        <f t="shared" ca="1" si="523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1951005)</f>
        <v>1951005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1893222.8)</f>
        <v>1893222.8</v>
      </c>
      <c r="T765" s="47">
        <f t="shared" ca="1" si="525"/>
        <v>93.949938962057232</v>
      </c>
      <c r="U765" s="47">
        <f t="shared" ca="1" si="526"/>
        <v>97.038336652135698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41"/>
      <c r="G766" s="43"/>
      <c r="H766" s="138" t="s">
        <v>14</v>
      </c>
      <c r="I766" s="136"/>
      <c r="J766" s="136"/>
      <c r="K766" s="137"/>
      <c r="L766" s="47">
        <f t="shared" ref="L766:N766" ca="1" si="533">L767+L768</f>
        <v>0</v>
      </c>
      <c r="M766" s="47">
        <f t="shared" ca="1" si="533"/>
        <v>0</v>
      </c>
      <c r="N766" s="47">
        <f t="shared" ca="1" si="533"/>
        <v>0</v>
      </c>
      <c r="O766" s="47">
        <f t="shared" ca="1" si="522"/>
        <v>0</v>
      </c>
      <c r="P766" s="47">
        <f t="shared" ca="1" si="523"/>
        <v>0</v>
      </c>
      <c r="Q766" s="47">
        <f t="shared" ref="Q766:S766" ca="1" si="534">Q767+Q768</f>
        <v>0</v>
      </c>
      <c r="R766" s="47">
        <f t="shared" ca="1" si="534"/>
        <v>0</v>
      </c>
      <c r="S766" s="47">
        <f t="shared" ca="1" si="534"/>
        <v>0</v>
      </c>
      <c r="T766" s="47">
        <f t="shared" ca="1" si="525"/>
        <v>0</v>
      </c>
      <c r="U766" s="47">
        <f t="shared" ca="1" si="526"/>
        <v>0</v>
      </c>
    </row>
    <row r="767" spans="1:21" ht="18.75" hidden="1" x14ac:dyDescent="0.25">
      <c r="A767" s="129"/>
      <c r="B767" s="160"/>
      <c r="C767" s="160"/>
      <c r="D767" s="160"/>
      <c r="E767" s="365" t="s">
        <v>20</v>
      </c>
      <c r="F767" s="41"/>
      <c r="G767" s="43"/>
      <c r="H767" s="161" t="s">
        <v>14</v>
      </c>
      <c r="I767" s="136"/>
      <c r="J767" s="136"/>
      <c r="K767" s="137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2"/>
        <v>0</v>
      </c>
      <c r="P767" s="49">
        <f t="shared" ca="1" si="523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5"/>
        <v>0</v>
      </c>
      <c r="U767" s="49">
        <f t="shared" ca="1" si="526"/>
        <v>0</v>
      </c>
    </row>
    <row r="768" spans="1:21" ht="18.75" hidden="1" x14ac:dyDescent="0.25">
      <c r="A768" s="129"/>
      <c r="B768" s="160"/>
      <c r="C768" s="160"/>
      <c r="D768" s="160"/>
      <c r="E768" s="226" t="s">
        <v>21</v>
      </c>
      <c r="F768" s="41"/>
      <c r="G768" s="43"/>
      <c r="H768" s="138" t="s">
        <v>14</v>
      </c>
      <c r="I768" s="136"/>
      <c r="J768" s="136"/>
      <c r="K768" s="137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2"/>
        <v>0</v>
      </c>
      <c r="P768" s="47">
        <f t="shared" ca="1" si="523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5"/>
        <v>0</v>
      </c>
      <c r="U768" s="47">
        <f t="shared" ca="1" si="526"/>
        <v>0</v>
      </c>
    </row>
    <row r="769" spans="1:21" ht="19.5" x14ac:dyDescent="0.3">
      <c r="A769" s="139"/>
      <c r="B769" s="140"/>
      <c r="C769" s="525" t="s">
        <v>18</v>
      </c>
      <c r="D769" s="491" t="s">
        <v>38</v>
      </c>
      <c r="E769" s="220"/>
      <c r="F769" s="142"/>
      <c r="G769" s="143"/>
      <c r="H769" s="192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46"/>
      <c r="G770" s="144"/>
      <c r="H770" s="515" t="s">
        <v>35</v>
      </c>
      <c r="I770" s="517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15)</f>
        <v>15</v>
      </c>
      <c r="J770" s="517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46"/>
      <c r="G771" s="144"/>
      <c r="H771" s="192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46"/>
      <c r="G772" s="144"/>
      <c r="H772" s="138" t="s">
        <v>35</v>
      </c>
      <c r="I772" s="153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9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240)</f>
        <v>240</v>
      </c>
      <c r="K772" s="47">
        <f ca="1">IF(I772&gt;0,J772*100/I772,0)</f>
        <v>100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46"/>
      <c r="G773" s="144"/>
      <c r="H773" s="192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46"/>
      <c r="G774" s="144"/>
      <c r="H774" s="138" t="s">
        <v>46</v>
      </c>
      <c r="I774" s="153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9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625)</f>
        <v>625</v>
      </c>
      <c r="K774" s="47">
        <f ca="1">IF(I774&gt;0,J774*100/I774,0)</f>
        <v>100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46"/>
      <c r="F775" s="41"/>
      <c r="G775" s="43"/>
      <c r="H775" s="138" t="s">
        <v>46</v>
      </c>
      <c r="I775" s="153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9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625)</f>
        <v>625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78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240)</f>
        <v>240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27" t="s">
        <v>298</v>
      </c>
      <c r="B777" s="528"/>
      <c r="C777" s="528"/>
      <c r="D777" s="528"/>
      <c r="E777" s="529"/>
      <c r="F777" s="529"/>
      <c r="G777" s="530"/>
      <c r="H777" s="531" t="str">
        <f ca="1">IFERROR(__xludf.DUMMYFUNCTION("IMPORTRANGE(""https://docs.google.com/spreadsheets/d/1gNPQPjxUj63ZZXIIIm2aX4x3w7PhAZpC9JuXdbpWwUQ/edit?usp=sharing"",""Sheet1!b2"")")," (ข้อมูล ณ 31 ก.ค. 67)")</f>
        <v xml:space="preserve"> 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225"/>
      <c r="B778" s="226" t="s">
        <v>299</v>
      </c>
      <c r="C778" s="160"/>
      <c r="D778" s="160"/>
      <c r="E778" s="41"/>
      <c r="F778" s="41"/>
      <c r="G778" s="43"/>
      <c r="H778" s="134" t="s">
        <v>14</v>
      </c>
      <c r="I778" s="153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12409155.92)</f>
        <v>12409155.92</v>
      </c>
      <c r="J778" s="153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12206928.79)</f>
        <v>12206928.789999999</v>
      </c>
      <c r="K778" s="47">
        <f t="shared" ref="K778:K785" ca="1" si="535">IF(I778&gt;0,J778*100/I778,0)</f>
        <v>98.370339358263138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25"/>
      <c r="B779" s="160"/>
      <c r="C779" s="160"/>
      <c r="D779" s="160"/>
      <c r="E779" s="41"/>
      <c r="F779" s="41"/>
      <c r="G779" s="43"/>
      <c r="H779" s="134" t="s">
        <v>35</v>
      </c>
      <c r="I779" s="153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986)</f>
        <v>986</v>
      </c>
      <c r="J779" s="153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1000)</f>
        <v>1000</v>
      </c>
      <c r="K779" s="47">
        <f t="shared" ca="1" si="535"/>
        <v>101.41987829614604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25"/>
      <c r="B780" s="226" t="s">
        <v>300</v>
      </c>
      <c r="C780" s="160"/>
      <c r="D780" s="160"/>
      <c r="E780" s="41"/>
      <c r="F780" s="41"/>
      <c r="G780" s="43"/>
      <c r="H780" s="134" t="s">
        <v>14</v>
      </c>
      <c r="I780" s="153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3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3647556.34999999)</f>
        <v>3647556.3499999898</v>
      </c>
      <c r="K780" s="47">
        <f t="shared" ca="1" si="535"/>
        <v>22.116691221494147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25"/>
      <c r="B781" s="160"/>
      <c r="C781" s="160"/>
      <c r="D781" s="160"/>
      <c r="E781" s="41"/>
      <c r="F781" s="41"/>
      <c r="G781" s="43"/>
      <c r="H781" s="134" t="s">
        <v>35</v>
      </c>
      <c r="I781" s="153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3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468)</f>
        <v>468</v>
      </c>
      <c r="K781" s="47">
        <f t="shared" ca="1" si="535"/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25"/>
      <c r="B782" s="226" t="s">
        <v>301</v>
      </c>
      <c r="C782" s="160"/>
      <c r="D782" s="160"/>
      <c r="E782" s="41"/>
      <c r="F782" s="41"/>
      <c r="G782" s="43"/>
      <c r="H782" s="134" t="s">
        <v>14</v>
      </c>
      <c r="I782" s="153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220256.37)</f>
        <v>220256.37</v>
      </c>
      <c r="J782" s="153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216483.99)</f>
        <v>216483.99</v>
      </c>
      <c r="K782" s="47">
        <f t="shared" ca="1" si="535"/>
        <v>98.287277684636322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25"/>
      <c r="B783" s="160"/>
      <c r="C783" s="160"/>
      <c r="D783" s="160"/>
      <c r="E783" s="41"/>
      <c r="F783" s="41"/>
      <c r="G783" s="43"/>
      <c r="H783" s="134" t="s">
        <v>35</v>
      </c>
      <c r="I783" s="153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452)</f>
        <v>452</v>
      </c>
      <c r="J783" s="153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132)</f>
        <v>132</v>
      </c>
      <c r="K783" s="47">
        <f t="shared" ca="1" si="535"/>
        <v>29.20353982300885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25"/>
      <c r="B784" s="226" t="s">
        <v>302</v>
      </c>
      <c r="C784" s="160"/>
      <c r="D784" s="160"/>
      <c r="E784" s="41"/>
      <c r="F784" s="41"/>
      <c r="G784" s="43"/>
      <c r="H784" s="134" t="s">
        <v>14</v>
      </c>
      <c r="I784" s="153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3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21569400)</f>
        <v>21569400</v>
      </c>
      <c r="K784" s="47">
        <f t="shared" ca="1" si="535"/>
        <v>100.04359925788498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73"/>
      <c r="B785" s="3"/>
      <c r="C785" s="3"/>
      <c r="D785" s="3"/>
      <c r="E785" s="1"/>
      <c r="F785" s="1"/>
      <c r="G785" s="53"/>
      <c r="H785" s="375" t="s">
        <v>35</v>
      </c>
      <c r="I785" s="205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205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504)</f>
        <v>504</v>
      </c>
      <c r="K785" s="111">
        <f t="shared" ca="1" si="535"/>
        <v>65.454545454545453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535"/>
      <c r="B786" s="535"/>
      <c r="C786" s="535"/>
      <c r="D786" s="535"/>
      <c r="E786" s="167"/>
      <c r="F786" s="167"/>
      <c r="G786" s="167"/>
      <c r="H786" s="535"/>
      <c r="I786" s="536"/>
      <c r="J786" s="536"/>
      <c r="K786" s="537"/>
      <c r="L786" s="537"/>
      <c r="M786" s="537"/>
      <c r="N786" s="537"/>
      <c r="O786" s="537"/>
      <c r="P786" s="537"/>
      <c r="Q786" s="537"/>
      <c r="R786" s="537"/>
      <c r="S786" s="537"/>
      <c r="T786" s="537"/>
      <c r="U786" s="537"/>
    </row>
    <row r="787" spans="1:21" ht="16.5" x14ac:dyDescent="0.25">
      <c r="A787" s="538" t="s">
        <v>303</v>
      </c>
      <c r="B787" s="535"/>
      <c r="C787" s="535"/>
      <c r="D787" s="535"/>
      <c r="E787" s="167"/>
      <c r="F787" s="167"/>
      <c r="G787" s="167"/>
      <c r="H787" s="535"/>
      <c r="I787" s="536"/>
      <c r="J787" s="536"/>
      <c r="K787" s="537"/>
      <c r="L787" s="537"/>
      <c r="M787" s="537"/>
      <c r="N787" s="537"/>
      <c r="O787" s="537"/>
      <c r="P787" s="537"/>
      <c r="Q787" s="537"/>
      <c r="R787" s="537"/>
      <c r="S787" s="537"/>
      <c r="T787" s="537"/>
      <c r="U787" s="53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535"/>
      <c r="C788" s="535"/>
      <c r="D788" s="535"/>
      <c r="E788" s="167"/>
      <c r="F788" s="167"/>
      <c r="G788" s="167"/>
      <c r="H788" s="535"/>
      <c r="I788" s="536"/>
      <c r="J788" s="536"/>
      <c r="K788" s="537"/>
      <c r="L788" s="537"/>
      <c r="M788" s="537"/>
      <c r="N788" s="537"/>
      <c r="O788" s="537"/>
      <c r="P788" s="537"/>
      <c r="Q788" s="537"/>
      <c r="R788" s="537"/>
      <c r="S788" s="537"/>
      <c r="T788" s="537"/>
      <c r="U788" s="537"/>
    </row>
    <row r="789" spans="1:21" ht="16.5" x14ac:dyDescent="0.25">
      <c r="A789" s="53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535"/>
      <c r="C789" s="535"/>
      <c r="D789" s="535"/>
      <c r="E789" s="167"/>
      <c r="F789" s="167"/>
      <c r="G789" s="167"/>
      <c r="H789" s="535"/>
      <c r="I789" s="536"/>
      <c r="J789" s="536"/>
      <c r="K789" s="537"/>
      <c r="L789" s="537"/>
      <c r="M789" s="537"/>
      <c r="N789" s="537"/>
      <c r="O789" s="537"/>
      <c r="P789" s="537"/>
      <c r="Q789" s="537"/>
      <c r="R789" s="537"/>
      <c r="S789" s="537"/>
      <c r="T789" s="537"/>
      <c r="U789" s="537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4586B-3B3E-4733-968A-6B28EA837B3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328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2683162</v>
      </c>
      <c r="M18" s="35">
        <f t="shared" ca="1" si="0"/>
        <v>2606728.84</v>
      </c>
      <c r="N18" s="35">
        <f t="shared" ca="1" si="0"/>
        <v>2477030.61</v>
      </c>
      <c r="O18" s="35">
        <f t="shared" ref="O18:O26" ca="1" si="1">IF(L18&gt;0,N18*100/L18,0)</f>
        <v>92.317594315960051</v>
      </c>
      <c r="P18" s="35">
        <f t="shared" ref="P18:P26" ca="1" si="2">IF(M18&gt;0,N18*100/M18,0)</f>
        <v>95.024483252350876</v>
      </c>
      <c r="Q18" s="35">
        <f t="shared" ref="Q18:S18" ca="1" si="3">Q19+Q20</f>
        <v>519907</v>
      </c>
      <c r="R18" s="35">
        <f t="shared" ca="1" si="3"/>
        <v>555347</v>
      </c>
      <c r="S18" s="35">
        <f t="shared" ca="1" si="3"/>
        <v>593479.54</v>
      </c>
      <c r="T18" s="35">
        <f t="shared" ref="T18:T26" ca="1" si="4">IF(Q18&gt;0,S18*100/Q18,0)</f>
        <v>114.15109625375308</v>
      </c>
      <c r="U18" s="35">
        <f t="shared" ref="U18:U26" ca="1" si="5">IF(R18&gt;0,S18*100/R18,0)</f>
        <v>106.8664348596463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2683162</v>
      </c>
      <c r="M20" s="39">
        <f t="shared" ca="1" si="6"/>
        <v>2606728.84</v>
      </c>
      <c r="N20" s="39">
        <f t="shared" ca="1" si="6"/>
        <v>2477030.61</v>
      </c>
      <c r="O20" s="39">
        <f t="shared" ca="1" si="1"/>
        <v>92.317594315960051</v>
      </c>
      <c r="P20" s="39">
        <f t="shared" ca="1" si="2"/>
        <v>95.024483252350876</v>
      </c>
      <c r="Q20" s="39">
        <f t="shared" ca="1" si="7"/>
        <v>519907</v>
      </c>
      <c r="R20" s="39">
        <f t="shared" ca="1" si="7"/>
        <v>555347</v>
      </c>
      <c r="S20" s="39">
        <f t="shared" ca="1" si="7"/>
        <v>593479.54</v>
      </c>
      <c r="T20" s="39">
        <f t="shared" ca="1" si="4"/>
        <v>114.15109625375308</v>
      </c>
      <c r="U20" s="39">
        <f t="shared" ca="1" si="5"/>
        <v>106.8664348596463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1675162</v>
      </c>
      <c r="M21" s="47">
        <f t="shared" ca="1" si="8"/>
        <v>1707132.45</v>
      </c>
      <c r="N21" s="47">
        <f t="shared" ca="1" si="8"/>
        <v>1577434.22</v>
      </c>
      <c r="O21" s="47">
        <f t="shared" ca="1" si="1"/>
        <v>94.166069908462589</v>
      </c>
      <c r="P21" s="47">
        <f t="shared" ca="1" si="2"/>
        <v>92.402567826532731</v>
      </c>
      <c r="Q21" s="47">
        <f t="shared" ref="Q21:S21" ca="1" si="9">Q22+Q23</f>
        <v>519907</v>
      </c>
      <c r="R21" s="47">
        <f t="shared" ca="1" si="9"/>
        <v>555347</v>
      </c>
      <c r="S21" s="47">
        <f t="shared" ca="1" si="9"/>
        <v>593479.54</v>
      </c>
      <c r="T21" s="47">
        <f t="shared" ca="1" si="4"/>
        <v>114.15109625375308</v>
      </c>
      <c r="U21" s="47">
        <f t="shared" ca="1" si="5"/>
        <v>106.8664348596463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1675162</v>
      </c>
      <c r="M23" s="47">
        <f t="shared" ca="1" si="12"/>
        <v>1707132.45</v>
      </c>
      <c r="N23" s="47">
        <f t="shared" ca="1" si="12"/>
        <v>1577434.22</v>
      </c>
      <c r="O23" s="47">
        <f t="shared" ca="1" si="1"/>
        <v>94.166069908462589</v>
      </c>
      <c r="P23" s="47">
        <f t="shared" ca="1" si="2"/>
        <v>92.402567826532731</v>
      </c>
      <c r="Q23" s="47">
        <f t="shared" ca="1" si="11"/>
        <v>519907</v>
      </c>
      <c r="R23" s="47">
        <f t="shared" ca="1" si="11"/>
        <v>555347</v>
      </c>
      <c r="S23" s="47">
        <f t="shared" ca="1" si="11"/>
        <v>593479.54</v>
      </c>
      <c r="T23" s="47">
        <f t="shared" ca="1" si="4"/>
        <v>114.15109625375308</v>
      </c>
      <c r="U23" s="47">
        <f t="shared" ca="1" si="5"/>
        <v>106.8664348596463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1008000</v>
      </c>
      <c r="M24" s="47">
        <f t="shared" ca="1" si="13"/>
        <v>899596.39</v>
      </c>
      <c r="N24" s="47">
        <f t="shared" ca="1" si="13"/>
        <v>899596.39</v>
      </c>
      <c r="O24" s="47">
        <f t="shared" ca="1" si="1"/>
        <v>89.245673611111116</v>
      </c>
      <c r="P24" s="47">
        <f t="shared" ca="1" si="2"/>
        <v>100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1008000</v>
      </c>
      <c r="M26" s="47">
        <f t="shared" ca="1" si="17"/>
        <v>899596.39</v>
      </c>
      <c r="N26" s="47">
        <f t="shared" ca="1" si="17"/>
        <v>899596.39</v>
      </c>
      <c r="O26" s="47">
        <f t="shared" ca="1" si="1"/>
        <v>89.245673611111116</v>
      </c>
      <c r="P26" s="47">
        <f t="shared" ca="1" si="2"/>
        <v>100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2628090</v>
      </c>
      <c r="M40" s="594">
        <f t="shared" ca="1" si="18"/>
        <v>2520316.84</v>
      </c>
      <c r="N40" s="594">
        <f t="shared" ca="1" si="18"/>
        <v>2399486.61</v>
      </c>
      <c r="O40" s="594">
        <f ca="1">IF(L40&gt;0,N40*100/L40,0)</f>
        <v>91.301538760088121</v>
      </c>
      <c r="P40" s="594">
        <f ca="1">IF(M40&gt;0,N40*100/M40,0)</f>
        <v>95.205752384688267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200000</v>
      </c>
      <c r="M44" s="79">
        <f t="shared" ca="1" si="19"/>
        <v>109995.48</v>
      </c>
      <c r="N44" s="79">
        <f t="shared" ca="1" si="19"/>
        <v>94995.48</v>
      </c>
      <c r="O44" s="79">
        <f t="shared" ref="O44:O52" ca="1" si="20">IF(L44&gt;0,N44*100/L44,0)</f>
        <v>47.49774</v>
      </c>
      <c r="P44" s="79">
        <f t="shared" ref="P44:P52" ca="1" si="21">IF(M44&gt;0,N44*100/M44,0)</f>
        <v>86.363076010032415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200000</v>
      </c>
      <c r="M46" s="83">
        <f t="shared" ca="1" si="25"/>
        <v>109995.48</v>
      </c>
      <c r="N46" s="83">
        <f t="shared" ca="1" si="25"/>
        <v>94995.48</v>
      </c>
      <c r="O46" s="83">
        <f t="shared" ca="1" si="20"/>
        <v>47.49774</v>
      </c>
      <c r="P46" s="83">
        <f t="shared" ca="1" si="21"/>
        <v>86.363076010032415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200000</v>
      </c>
      <c r="M47" s="47">
        <f t="shared" ca="1" si="27"/>
        <v>109995.48</v>
      </c>
      <c r="N47" s="47">
        <f t="shared" ca="1" si="27"/>
        <v>94995.48</v>
      </c>
      <c r="O47" s="47">
        <f t="shared" ca="1" si="20"/>
        <v>47.49774</v>
      </c>
      <c r="P47" s="47">
        <f t="shared" ca="1" si="21"/>
        <v>86.363076010032415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IFERROR(__xludf.DUMMYFUNCTION("IMPORTRANGE(""https://docs.google.com/spreadsheets/d/1-uDff_7J0KD5mKrp0Vvzr7lt3OU09vwQwhkpOPPYv2Y/edit?usp=sharing"",""งบพรบ!V83"")"),109995.48)</f>
        <v>109995.48</v>
      </c>
      <c r="N49" s="47">
        <f ca="1">IFERROR(__xludf.DUMMYFUNCTION("IMPORTRANGE(""https://docs.google.com/spreadsheets/d/1-uDff_7J0KD5mKrp0Vvzr7lt3OU09vwQwhkpOPPYv2Y/edit?usp=sharing"",""งบพรบ!Y83"")"),94995.48)</f>
        <v>94995.48</v>
      </c>
      <c r="O49" s="47">
        <f t="shared" ca="1" si="20"/>
        <v>47.49774</v>
      </c>
      <c r="P49" s="47">
        <f t="shared" ca="1" si="21"/>
        <v>86.363076010032415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1622300</v>
      </c>
      <c r="M59" s="106">
        <f t="shared" ca="1" si="31"/>
        <v>1523361.3599999999</v>
      </c>
      <c r="N59" s="106">
        <f t="shared" ca="1" si="31"/>
        <v>1469335.6099999999</v>
      </c>
      <c r="O59" s="106">
        <f t="shared" ref="O59:O67" ca="1" si="32">IF(L59&gt;0,N59*100/L59,0)</f>
        <v>90.571140356284289</v>
      </c>
      <c r="P59" s="106">
        <f t="shared" ref="P59:P67" ca="1" si="33">IF(M59&gt;0,N59*100/M59,0)</f>
        <v>96.453517109033157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1622300</v>
      </c>
      <c r="M61" s="109">
        <f t="shared" ca="1" si="37"/>
        <v>1523361.3599999999</v>
      </c>
      <c r="N61" s="109">
        <f t="shared" ca="1" si="37"/>
        <v>1469335.6099999999</v>
      </c>
      <c r="O61" s="109">
        <f t="shared" ca="1" si="32"/>
        <v>90.571140356284289</v>
      </c>
      <c r="P61" s="109">
        <f t="shared" ca="1" si="33"/>
        <v>96.453517109033157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614300</v>
      </c>
      <c r="M62" s="47">
        <f t="shared" ca="1" si="39"/>
        <v>623764.97</v>
      </c>
      <c r="N62" s="47">
        <f t="shared" ca="1" si="39"/>
        <v>569739.22</v>
      </c>
      <c r="O62" s="47">
        <f t="shared" ca="1" si="32"/>
        <v>92.746088230506274</v>
      </c>
      <c r="P62" s="47">
        <f t="shared" ca="1" si="33"/>
        <v>91.338764983868842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IFERROR(__xludf.DUMMYFUNCTION("IMPORTRANGE(""https://docs.google.com/spreadsheets/d/1-uDff_7J0KD5mKrp0Vvzr7lt3OU09vwQwhkpOPPYv2Y/edit?usp=sharing"",""งบพรบ!AH83"")"),623764.97)</f>
        <v>623764.97</v>
      </c>
      <c r="N64" s="47">
        <f ca="1">IFERROR(__xludf.DUMMYFUNCTION("IMPORTRANGE(""https://docs.google.com/spreadsheets/d/1-uDff_7J0KD5mKrp0Vvzr7lt3OU09vwQwhkpOPPYv2Y/edit?usp=sharing"",""งบพรบ!AJ83"")"),569739.22)</f>
        <v>569739.22</v>
      </c>
      <c r="O64" s="47">
        <f t="shared" ca="1" si="32"/>
        <v>92.746088230506274</v>
      </c>
      <c r="P64" s="47">
        <f t="shared" ca="1" si="33"/>
        <v>91.338764983868842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1008000</v>
      </c>
      <c r="M65" s="47">
        <f t="shared" ca="1" si="41"/>
        <v>899596.39</v>
      </c>
      <c r="N65" s="47">
        <f t="shared" ca="1" si="41"/>
        <v>899596.39</v>
      </c>
      <c r="O65" s="47">
        <f t="shared" ca="1" si="32"/>
        <v>89.245673611111116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IFERROR(__xludf.DUMMYFUNCTION("IMPORTRANGE(""https://docs.google.com/spreadsheets/d/1-uDff_7J0KD5mKrp0Vvzr7lt3OU09vwQwhkpOPPYv2Y/edit?usp=sharing"",""งบพรบ!AI83"")"),899596.39)</f>
        <v>899596.39</v>
      </c>
      <c r="N67" s="111">
        <f ca="1">IFERROR(__xludf.DUMMYFUNCTION("IMPORTRANGE(""https://docs.google.com/spreadsheets/d/1-uDff_7J0KD5mKrp0Vvzr7lt3OU09vwQwhkpOPPYv2Y/edit?usp=sharing"",""งบพรบ!AK83"")"),899596.39)</f>
        <v>899596.39</v>
      </c>
      <c r="O67" s="111">
        <f t="shared" ca="1" si="32"/>
        <v>89.245673611111116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IFERROR(__xludf.DUMMYFUNCTION("IMPORTRANGE(""https://docs.google.com/spreadsheets/d/1eHaY18a8A9IcSdp1K8H6x8fbOy06t2VsZHhMHf-1x7Y/edit?usp=sharing"",""แผน!H83"")"),0)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IFERROR(__xludf.DUMMYFUNCTION("IMPORTRANGE(""https://docs.google.com/spreadsheets/d/1eHaY18a8A9IcSdp1K8H6x8fbOy06t2VsZHhMHf-1x7Y/edit?usp=sharing"",""แผน!I83"")"),0)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IFERROR(__xludf.DUMMYFUNCTION("IMPORTRANGE(""https://docs.google.com/spreadsheets/d/1eHaY18a8A9IcSdp1K8H6x8fbOy06t2VsZHhMHf-1x7Y/edit?usp=sharing"",""แผน!F83"")"),0)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IFERROR(__xludf.DUMMYFUNCTION("IMPORTRANGE(""https://docs.google.com/spreadsheets/d/1eHaY18a8A9IcSdp1K8H6x8fbOy06t2VsZHhMHf-1x7Y/edit?usp=sharing"",""แผน!G83"")"),0)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IFERROR(__xludf.DUMMYFUNCTION("IMPORTRANGE(""https://docs.google.com/spreadsheets/d/1eHaY18a8A9IcSdp1K8H6x8fbOy06t2VsZHhMHf-1x7Y/edit?usp=sharing"",""แผน!D83"")"),0)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IFERROR(__xludf.DUMMYFUNCTION("IMPORTRANGE(""https://docs.google.com/spreadsheets/d/1eHaY18a8A9IcSdp1K8H6x8fbOy06t2VsZHhMHf-1x7Y/edit?usp=sharing"",""แผน!E83"")"),0)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IFERROR(__xludf.DUMMYFUNCTION("IMPORTRANGE(""https://docs.google.com/spreadsheets/d/1eHaY18a8A9IcSdp1K8H6x8fbOy06t2VsZHhMHf-1x7Y/edit?usp=sharing"",""แผน!J83"")"),0)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IFERROR(__xludf.DUMMYFUNCTION("IMPORTRANGE(""https://docs.google.com/spreadsheets/d/1eHaY18a8A9IcSdp1K8H6x8fbOy06t2VsZHhMHf-1x7Y/edit?usp=sharing"",""แผน!N83"")"),0)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IFERROR(__xludf.DUMMYFUNCTION("IMPORTRANGE(""https://docs.google.com/spreadsheets/d/1eHaY18a8A9IcSdp1K8H6x8fbOy06t2VsZHhMHf-1x7Y/edit?usp=sharing"",""แผน!O83"")"),0)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IFERROR(__xludf.DUMMYFUNCTION("IMPORTRANGE(""https://docs.google.com/spreadsheets/d/1eHaY18a8A9IcSdp1K8H6x8fbOy06t2VsZHhMHf-1x7Y/edit?usp=sharing"",""แผน!R83"")"),0)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10</v>
      </c>
      <c r="J116" s="128">
        <f t="shared" si="74"/>
        <v>10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173660</v>
      </c>
      <c r="R117" s="133">
        <f t="shared" ca="1" si="78"/>
        <v>173660</v>
      </c>
      <c r="S117" s="133">
        <f t="shared" ca="1" si="78"/>
        <v>157283.23000000001</v>
      </c>
      <c r="T117" s="133">
        <f t="shared" ref="T117:T125" ca="1" si="79">IF(Q117&gt;0,S117*100/Q117,0)</f>
        <v>90.569636070482559</v>
      </c>
      <c r="U117" s="133">
        <f t="shared" ref="U117:U125" ca="1" si="80">IF(R117&gt;0,S117*100/R117,0)</f>
        <v>90.569636070482559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173660</v>
      </c>
      <c r="R119" s="47">
        <f t="shared" ca="1" si="82"/>
        <v>173660</v>
      </c>
      <c r="S119" s="47">
        <f t="shared" ca="1" si="82"/>
        <v>157283.23000000001</v>
      </c>
      <c r="T119" s="47">
        <f t="shared" ca="1" si="79"/>
        <v>90.569636070482559</v>
      </c>
      <c r="U119" s="47">
        <f t="shared" ca="1" si="80"/>
        <v>90.569636070482559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173660</v>
      </c>
      <c r="R120" s="47">
        <f t="shared" ca="1" si="84"/>
        <v>173660</v>
      </c>
      <c r="S120" s="47">
        <f t="shared" ca="1" si="84"/>
        <v>157283.23000000001</v>
      </c>
      <c r="T120" s="47">
        <f t="shared" ca="1" si="79"/>
        <v>90.569636070482559</v>
      </c>
      <c r="U120" s="47">
        <f t="shared" ca="1" si="80"/>
        <v>90.569636070482559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IFERROR(__xludf.DUMMYFUNCTION("IMPORTRANGE(""https://docs.google.com/spreadsheets/d/1ItG2mGa2ceCfYo0BwxsXqNm01IGEUdYcSSLTEv9YCik/edit?usp=sharing"",""เบิกจ่ายกองทุน!W83"")"),157283.23)</f>
        <v>157283.23000000001</v>
      </c>
      <c r="T122" s="47">
        <f t="shared" ca="1" si="79"/>
        <v>90.569636070482559</v>
      </c>
      <c r="U122" s="47">
        <f t="shared" ca="1" si="80"/>
        <v>90.569636070482559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IFERROR(__xludf.DUMMYFUNCTION("IMPORTRANGE(""https://docs.google.com/spreadsheets/d/1eHaY18a8A9IcSdp1K8H6x8fbOy06t2VsZHhMHf-1x7Y/edit?usp=sharing"",""แผน!FF83"")"),10)</f>
        <v>10</v>
      </c>
      <c r="J127" s="169">
        <v>10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IFERROR(__xludf.DUMMYFUNCTION("IMPORTRANGE(""https://docs.google.com/spreadsheets/d/1eHaY18a8A9IcSdp1K8H6x8fbOy06t2VsZHhMHf-1x7Y/edit?usp=sharing"",""แผน!FG83"")"),1)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IFERROR(__xludf.DUMMYFUNCTION("IMPORTRANGE(""https://docs.google.com/spreadsheets/d/1eHaY18a8A9IcSdp1K8H6x8fbOy06t2VsZHhMHf-1x7Y/edit?usp=sharing"",""แผน!FH83"")"),10)</f>
        <v>10</v>
      </c>
      <c r="J129" s="169">
        <v>10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IFERROR(__xludf.DUMMYFUNCTION("IMPORTRANGE(""https://docs.google.com/spreadsheets/d/1eHaY18a8A9IcSdp1K8H6x8fbOy06t2VsZHhMHf-1x7Y/edit?usp=sharing"",""แผน!FI83"")"),1)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0</v>
      </c>
      <c r="J137" s="128">
        <f t="shared" si="90"/>
        <v>0</v>
      </c>
      <c r="K137" s="35">
        <f t="shared" ca="1" si="89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0</v>
      </c>
      <c r="J138" s="128">
        <f t="shared" si="90"/>
        <v>0</v>
      </c>
      <c r="K138" s="35">
        <f t="shared" ca="1" si="89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0</v>
      </c>
      <c r="M139" s="133">
        <f t="shared" ca="1" si="91"/>
        <v>0</v>
      </c>
      <c r="N139" s="133">
        <f t="shared" ca="1" si="91"/>
        <v>6438</v>
      </c>
      <c r="O139" s="133">
        <f t="shared" ref="O139:O147" ca="1" si="92">IF(L139&gt;0,N139*100/L139,0)</f>
        <v>0</v>
      </c>
      <c r="P139" s="133">
        <f t="shared" ref="P139:P147" ca="1" si="93">IF(M139&gt;0,N139*100/M139,0)</f>
        <v>0</v>
      </c>
      <c r="Q139" s="133">
        <f t="shared" ref="Q139:S139" ca="1" si="94">Q140+Q141</f>
        <v>0</v>
      </c>
      <c r="R139" s="133">
        <f t="shared" ca="1" si="94"/>
        <v>0</v>
      </c>
      <c r="S139" s="133">
        <f t="shared" ca="1" si="94"/>
        <v>0</v>
      </c>
      <c r="T139" s="133">
        <f t="shared" ref="T139:T147" ca="1" si="95">IF(Q139&gt;0,S139*100/Q139,0)</f>
        <v>0</v>
      </c>
      <c r="U139" s="133">
        <f t="shared" ref="U139:U147" ca="1" si="96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0</v>
      </c>
      <c r="M141" s="47">
        <f t="shared" ca="1" si="97"/>
        <v>0</v>
      </c>
      <c r="N141" s="47">
        <f t="shared" ca="1" si="97"/>
        <v>6438</v>
      </c>
      <c r="O141" s="47">
        <f t="shared" ca="1" si="92"/>
        <v>0</v>
      </c>
      <c r="P141" s="47">
        <f t="shared" ca="1" si="93"/>
        <v>0</v>
      </c>
      <c r="Q141" s="47">
        <f t="shared" ca="1" si="98"/>
        <v>0</v>
      </c>
      <c r="R141" s="47">
        <f t="shared" ca="1" si="98"/>
        <v>0</v>
      </c>
      <c r="S141" s="47">
        <f t="shared" ca="1" si="98"/>
        <v>0</v>
      </c>
      <c r="T141" s="47">
        <f t="shared" ca="1" si="95"/>
        <v>0</v>
      </c>
      <c r="U141" s="47">
        <f t="shared" ca="1" si="96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0</v>
      </c>
      <c r="M142" s="47">
        <f t="shared" ca="1" si="99"/>
        <v>0</v>
      </c>
      <c r="N142" s="47">
        <f t="shared" ca="1" si="99"/>
        <v>6438</v>
      </c>
      <c r="O142" s="47">
        <f t="shared" ca="1" si="92"/>
        <v>0</v>
      </c>
      <c r="P142" s="47">
        <f t="shared" ca="1" si="93"/>
        <v>0</v>
      </c>
      <c r="Q142" s="47">
        <f t="shared" ref="Q142:S142" ca="1" si="100">Q143+Q144</f>
        <v>0</v>
      </c>
      <c r="R142" s="47">
        <f t="shared" ca="1" si="100"/>
        <v>0</v>
      </c>
      <c r="S142" s="47">
        <f t="shared" ca="1" si="100"/>
        <v>0</v>
      </c>
      <c r="T142" s="47">
        <f t="shared" ca="1" si="95"/>
        <v>0</v>
      </c>
      <c r="U142" s="47">
        <f t="shared" ca="1" si="96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IFERROR(__xludf.DUMMYFUNCTION("IMPORTRANGE(""https://docs.google.com/spreadsheets/d/1-uDff_7J0KD5mKrp0Vvzr7lt3OU09vwQwhkpOPPYv2Y/edit?usp=sharing"",""งบพรบ!BX83"")"),6438)</f>
        <v>6438</v>
      </c>
      <c r="O144" s="47">
        <f t="shared" ca="1" si="92"/>
        <v>0</v>
      </c>
      <c r="P144" s="47">
        <f t="shared" ca="1" si="93"/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t="shared" ca="1" si="95"/>
        <v>0</v>
      </c>
      <c r="U144" s="47">
        <f t="shared" ca="1" si="96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t="shared" ca="1" si="95"/>
        <v>0</v>
      </c>
      <c r="U147" s="47">
        <f t="shared" ca="1" si="96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IFERROR(__xludf.DUMMYFUNCTION("IMPORTRANGE(""https://docs.google.com/spreadsheets/d/1eHaY18a8A9IcSdp1K8H6x8fbOy06t2VsZHhMHf-1x7Y/edit?usp=sharing"",""แผน!U83"")"),0)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IFERROR(__xludf.DUMMYFUNCTION("IMPORTRANGE(""https://docs.google.com/spreadsheets/d/1eHaY18a8A9IcSdp1K8H6x8fbOy06t2VsZHhMHf-1x7Y/edit?usp=sharing"",""แผน!V83"")"),0)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IFERROR(__xludf.DUMMYFUNCTION("IMPORTRANGE(""https://docs.google.com/spreadsheets/d/1eHaY18a8A9IcSdp1K8H6x8fbOy06t2VsZHhMHf-1x7Y/edit?usp=sharing"",""แผน!W83"")"),0)</f>
        <v>0</v>
      </c>
      <c r="J152" s="169">
        <v>0</v>
      </c>
      <c r="K152" s="47">
        <f t="shared" ca="1" si="103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IFERROR(__xludf.DUMMYFUNCTION("IMPORTRANGE(""https://docs.google.com/spreadsheets/d/1eHaY18a8A9IcSdp1K8H6x8fbOy06t2VsZHhMHf-1x7Y/edit?usp=sharing"",""แผน!X83"")"),0)</f>
        <v>0</v>
      </c>
      <c r="J153" s="169">
        <v>0</v>
      </c>
      <c r="K153" s="47">
        <f t="shared" ca="1" si="103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IFERROR(__xludf.DUMMYFUNCTION("IMPORTRANGE(""https://docs.google.com/spreadsheets/d/1eHaY18a8A9IcSdp1K8H6x8fbOy06t2VsZHhMHf-1x7Y/edit?usp=sharing"",""แผน!Y83"")"),0)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IFERROR(__xludf.DUMMYFUNCTION("IMPORTRANGE(""https://docs.google.com/spreadsheets/d/1eHaY18a8A9IcSdp1K8H6x8fbOy06t2VsZHhMHf-1x7Y/edit?usp=sharing"",""แผน!Z83"")"),0)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IFERROR(__xludf.DUMMYFUNCTION("IMPORTRANGE(""https://docs.google.com/spreadsheets/d/1eHaY18a8A9IcSdp1K8H6x8fbOy06t2VsZHhMHf-1x7Y/edit?usp=sharing"",""แผน!Z83"")"),0)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IFERROR(__xludf.DUMMYFUNCTION("IMPORTRANGE(""https://docs.google.com/spreadsheets/d/1eHaY18a8A9IcSdp1K8H6x8fbOy06t2VsZHhMHf-1x7Y/edit?usp=sharing"",""แผน!Z83"")"),0)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0</v>
      </c>
      <c r="J172" s="222">
        <f t="shared" si="118"/>
        <v>0</v>
      </c>
      <c r="K172" s="223">
        <f ca="1">IF(I172&gt;0,J172*100/I172,0)</f>
        <v>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0</v>
      </c>
      <c r="M173" s="133">
        <f t="shared" ca="1" si="119"/>
        <v>17470</v>
      </c>
      <c r="N173" s="133">
        <f t="shared" ca="1" si="119"/>
        <v>17470</v>
      </c>
      <c r="O173" s="133">
        <f t="shared" ref="O173:O181" ca="1" si="120">IF(L173&gt;0,N173*100/L173,0)</f>
        <v>0</v>
      </c>
      <c r="P173" s="133">
        <f t="shared" ref="P173:P181" ca="1" si="121">IF(M173&gt;0,N173*100/M173,0)</f>
        <v>100</v>
      </c>
      <c r="Q173" s="133">
        <f t="shared" ref="Q173:S173" ca="1" si="122">Q174+Q175</f>
        <v>0</v>
      </c>
      <c r="R173" s="133">
        <f t="shared" ca="1" si="122"/>
        <v>0</v>
      </c>
      <c r="S173" s="133">
        <f t="shared" ca="1" si="122"/>
        <v>0</v>
      </c>
      <c r="T173" s="133">
        <f t="shared" ref="T173:T181" ca="1" si="123">IF(Q173&gt;0,S173*100/Q173,0)</f>
        <v>0</v>
      </c>
      <c r="U173" s="133">
        <f t="shared" ref="U173:U181" ca="1" si="124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0</v>
      </c>
      <c r="M175" s="47">
        <f t="shared" ca="1" si="125"/>
        <v>17470</v>
      </c>
      <c r="N175" s="47">
        <f t="shared" ca="1" si="125"/>
        <v>17470</v>
      </c>
      <c r="O175" s="47">
        <f t="shared" ca="1" si="120"/>
        <v>0</v>
      </c>
      <c r="P175" s="47">
        <f t="shared" ca="1" si="121"/>
        <v>100</v>
      </c>
      <c r="Q175" s="47">
        <f t="shared" ca="1" si="126"/>
        <v>0</v>
      </c>
      <c r="R175" s="47">
        <f t="shared" ca="1" si="126"/>
        <v>0</v>
      </c>
      <c r="S175" s="47">
        <f t="shared" ca="1" si="126"/>
        <v>0</v>
      </c>
      <c r="T175" s="47">
        <f t="shared" ca="1" si="123"/>
        <v>0</v>
      </c>
      <c r="U175" s="47">
        <f t="shared" ca="1" si="124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0</v>
      </c>
      <c r="M176" s="47">
        <f t="shared" ca="1" si="127"/>
        <v>17470</v>
      </c>
      <c r="N176" s="47">
        <f t="shared" ca="1" si="127"/>
        <v>17470</v>
      </c>
      <c r="O176" s="47">
        <f t="shared" ca="1" si="120"/>
        <v>0</v>
      </c>
      <c r="P176" s="47">
        <f t="shared" ca="1" si="121"/>
        <v>100</v>
      </c>
      <c r="Q176" s="47">
        <f t="shared" ref="Q176:S176" ca="1" si="128">Q177+Q178</f>
        <v>0</v>
      </c>
      <c r="R176" s="47">
        <f t="shared" ca="1" si="128"/>
        <v>0</v>
      </c>
      <c r="S176" s="47">
        <f t="shared" ca="1" si="128"/>
        <v>0</v>
      </c>
      <c r="T176" s="47">
        <f t="shared" ca="1" si="123"/>
        <v>0</v>
      </c>
      <c r="U176" s="47">
        <f t="shared" ca="1" si="124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t="shared" ca="1" si="120"/>
        <v>0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t="shared" ca="1" si="123"/>
        <v>0</v>
      </c>
      <c r="U178" s="47">
        <f t="shared" ca="1" si="124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IFERROR(__xludf.DUMMYFUNCTION("IMPORTRANGE(""https://docs.google.com/spreadsheets/d/1eHaY18a8A9IcSdp1K8H6x8fbOy06t2VsZHhMHf-1x7Y/edit?usp=sharing"",""แผน!AA83"")"),0)</f>
        <v>0</v>
      </c>
      <c r="J183" s="169">
        <v>0</v>
      </c>
      <c r="K183" s="47">
        <f t="shared" ref="K183:K185" ca="1" si="131">IF(I183&gt;0,J183*100/I183,0)</f>
        <v>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80500</v>
      </c>
      <c r="M186" s="133">
        <f t="shared" ca="1" si="133"/>
        <v>82500</v>
      </c>
      <c r="N186" s="133">
        <f t="shared" ca="1" si="133"/>
        <v>82500</v>
      </c>
      <c r="O186" s="133">
        <f t="shared" ref="O186:O194" ca="1" si="134">IF(L186&gt;0,N186*100/L186,0)</f>
        <v>102.48447204968944</v>
      </c>
      <c r="P186" s="133">
        <f t="shared" ref="P186:P194" ca="1" si="135">IF(M186&gt;0,N186*100/M186,0)</f>
        <v>100</v>
      </c>
      <c r="Q186" s="133">
        <f t="shared" ref="Q186:S186" ca="1" si="136">Q187+Q188</f>
        <v>0</v>
      </c>
      <c r="R186" s="133">
        <f t="shared" ca="1" si="136"/>
        <v>0</v>
      </c>
      <c r="S186" s="133">
        <f t="shared" ca="1" si="136"/>
        <v>0</v>
      </c>
      <c r="T186" s="133">
        <f t="shared" ref="T186:T194" ca="1" si="137">IF(Q186&gt;0,S186*100/Q186,0)</f>
        <v>0</v>
      </c>
      <c r="U186" s="133">
        <f t="shared" ref="U186:U194" ca="1" si="138">IF(R186&gt;0,S186*100/R186,0)</f>
        <v>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80500</v>
      </c>
      <c r="M188" s="47">
        <f t="shared" ca="1" si="139"/>
        <v>82500</v>
      </c>
      <c r="N188" s="47">
        <f t="shared" ca="1" si="139"/>
        <v>82500</v>
      </c>
      <c r="O188" s="47">
        <f t="shared" ca="1" si="134"/>
        <v>102.48447204968944</v>
      </c>
      <c r="P188" s="47">
        <f t="shared" ca="1" si="135"/>
        <v>100</v>
      </c>
      <c r="Q188" s="47">
        <f t="shared" ca="1" si="140"/>
        <v>0</v>
      </c>
      <c r="R188" s="47">
        <f t="shared" ca="1" si="140"/>
        <v>0</v>
      </c>
      <c r="S188" s="47">
        <f t="shared" ca="1" si="140"/>
        <v>0</v>
      </c>
      <c r="T188" s="47">
        <f t="shared" ca="1" si="137"/>
        <v>0</v>
      </c>
      <c r="U188" s="47">
        <f t="shared" ca="1" si="138"/>
        <v>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80500</v>
      </c>
      <c r="M189" s="47">
        <f t="shared" ca="1" si="141"/>
        <v>82500</v>
      </c>
      <c r="N189" s="47">
        <f t="shared" ca="1" si="141"/>
        <v>82500</v>
      </c>
      <c r="O189" s="47">
        <f t="shared" ca="1" si="134"/>
        <v>102.48447204968944</v>
      </c>
      <c r="P189" s="47">
        <f t="shared" ca="1" si="135"/>
        <v>100</v>
      </c>
      <c r="Q189" s="47">
        <f t="shared" ref="Q189:S189" ca="1" si="142">Q190+Q191</f>
        <v>0</v>
      </c>
      <c r="R189" s="47">
        <f t="shared" ca="1" si="142"/>
        <v>0</v>
      </c>
      <c r="S189" s="47">
        <f t="shared" ca="1" si="142"/>
        <v>0</v>
      </c>
      <c r="T189" s="47">
        <f t="shared" ca="1" si="137"/>
        <v>0</v>
      </c>
      <c r="U189" s="47">
        <f t="shared" ca="1" si="138"/>
        <v>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IFERROR(__xludf.DUMMYFUNCTION("IMPORTRANGE(""https://docs.google.com/spreadsheets/d/1-uDff_7J0KD5mKrp0Vvzr7lt3OU09vwQwhkpOPPYv2Y/edit?usp=sharing"",""งบพรบ!CZ83"")"),82500)</f>
        <v>82500</v>
      </c>
      <c r="N191" s="47">
        <f ca="1">IFERROR(__xludf.DUMMYFUNCTION("IMPORTRANGE(""https://docs.google.com/spreadsheets/d/1-uDff_7J0KD5mKrp0Vvzr7lt3OU09vwQwhkpOPPYv2Y/edit?usp=sharing"",""งบพรบ!DB83"")"),82500)</f>
        <v>82500</v>
      </c>
      <c r="O191" s="47">
        <f t="shared" ca="1" si="134"/>
        <v>102.48447204968944</v>
      </c>
      <c r="P191" s="47">
        <f t="shared" ca="1" si="135"/>
        <v>100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t="shared" ca="1" si="137"/>
        <v>0</v>
      </c>
      <c r="U191" s="47">
        <f t="shared" ca="1" si="138"/>
        <v>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IFERROR(__xludf.DUMMYFUNCTION("IMPORTRANGE(""https://docs.google.com/spreadsheets/d/1eHaY18a8A9IcSdp1K8H6x8fbOy06t2VsZHhMHf-1x7Y/edit?usp=sharing"",""แผน!AE83"")"),4)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188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188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0</v>
      </c>
      <c r="J202" s="236">
        <f t="shared" si="146"/>
        <v>0</v>
      </c>
      <c r="K202" s="237">
        <f ca="1">IF(I202&gt;0,J202*100/I202,0)</f>
        <v>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hidden="1" x14ac:dyDescent="0.3">
      <c r="A203" s="129"/>
      <c r="B203" s="200"/>
      <c r="C203" s="19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0</v>
      </c>
      <c r="M203" s="46"/>
      <c r="N203" s="133">
        <f>N204+N205+N206+N207</f>
        <v>0</v>
      </c>
      <c r="O203" s="133">
        <f ca="1">IF(L203&gt;0,N203*100/L203,0)</f>
        <v>0</v>
      </c>
      <c r="P203" s="133">
        <f>IF(M203&gt;0,N203*100/M203,0)</f>
        <v>0</v>
      </c>
      <c r="Q203" s="637">
        <f ca="1">Q204+Q205+Q206+Q207</f>
        <v>0</v>
      </c>
      <c r="R203" s="180"/>
      <c r="S203" s="638">
        <f>S204+S205+S206+S207</f>
        <v>0</v>
      </c>
      <c r="T203" s="638">
        <f ca="1">IF(Q203&gt;0,S203*100/Q203,0)</f>
        <v>0</v>
      </c>
      <c r="U203" s="638">
        <f>IF(R203&gt;0,S203*100/R203,0)</f>
        <v>0</v>
      </c>
    </row>
    <row r="204" spans="1:21" ht="18.75" hidden="1" x14ac:dyDescent="0.25">
      <c r="A204" s="129"/>
      <c r="B204" s="160"/>
      <c r="C204" s="200"/>
      <c r="D204" s="271" t="s">
        <v>86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IFERROR(__xludf.DUMMYFUNCTION("IMPORTRANGE(""https://docs.google.com/spreadsheets/d/1eHaY18a8A9IcSdp1K8H6x8fbOy06t2VsZHhMHf-1x7Y/edit?usp=sharing"",""แผน!AG83"")"),0)</f>
        <v>0</v>
      </c>
      <c r="M204" s="46"/>
      <c r="N204" s="639">
        <v>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hidden="1" x14ac:dyDescent="0.25">
      <c r="A205" s="225"/>
      <c r="B205" s="160"/>
      <c r="C205" s="200"/>
      <c r="D205" s="271" t="s">
        <v>88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IFERROR(__xludf.DUMMYFUNCTION("IMPORTRANGE(""https://docs.google.com/spreadsheets/d/1eHaY18a8A9IcSdp1K8H6x8fbOy06t2VsZHhMHf-1x7Y/edit?usp=sharing"",""แผน!AH83"")"),0)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hidden="1" x14ac:dyDescent="0.25">
      <c r="A206" s="225"/>
      <c r="B206" s="160"/>
      <c r="C206" s="200"/>
      <c r="D206" s="271" t="s">
        <v>95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IFERROR(__xludf.DUMMYFUNCTION("IMPORTRANGE(""https://docs.google.com/spreadsheets/d/1eHaY18a8A9IcSdp1K8H6x8fbOy06t2VsZHhMHf-1x7Y/edit?usp=sharing"",""แผน!AI83"")"),0)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IFERROR(__xludf.DUMMYFUNCTION("IMPORTRANGE(""https://docs.google.com/spreadsheets/d/1eHaY18a8A9IcSdp1K8H6x8fbOy06t2VsZHhMHf-1x7Y/edit?usp=sharing"",""แผน!LV83"")"),0)</f>
        <v>0</v>
      </c>
      <c r="R206" s="46"/>
      <c r="S206" s="639">
        <v>0</v>
      </c>
      <c r="T206" s="137"/>
      <c r="U206" s="46"/>
    </row>
    <row r="207" spans="1:21" ht="18.75" hidden="1" x14ac:dyDescent="0.25">
      <c r="A207" s="225"/>
      <c r="B207" s="160"/>
      <c r="C207" s="200"/>
      <c r="D207" s="200"/>
      <c r="E207" s="200"/>
      <c r="F207" s="200"/>
      <c r="G207" s="43"/>
      <c r="H207" s="43"/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IFERROR(__xludf.DUMMYFUNCTION("IMPORTRANGE(""https://docs.google.com/spreadsheets/d/1eHaY18a8A9IcSdp1K8H6x8fbOy06t2VsZHhMHf-1x7Y/edit?usp=sharing"",""แผน!AJ83"")"),0)</f>
        <v>0</v>
      </c>
      <c r="M207" s="46"/>
      <c r="N207" s="639">
        <v>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hidden="1" x14ac:dyDescent="0.3">
      <c r="A208" s="139"/>
      <c r="B208" s="140"/>
      <c r="C208" s="19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hidden="1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IFERROR(__xludf.DUMMYFUNCTION("IMPORTRANGE(""https://docs.google.com/spreadsheets/d/1eHaY18a8A9IcSdp1K8H6x8fbOy06t2VsZHhMHf-1x7Y/edit?usp=sharing"",""แผน!AK83"")"),0)</f>
        <v>0</v>
      </c>
      <c r="J209" s="169">
        <v>0</v>
      </c>
      <c r="K209" s="154">
        <f ca="1">IF(I209&gt;0,J209*100/I209,0)</f>
        <v>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hidden="1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hidden="1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IFERROR(__xludf.DUMMYFUNCTION("IMPORTRANGE(""https://docs.google.com/spreadsheets/d/1eHaY18a8A9IcSdp1K8H6x8fbOy06t2VsZHhMHf-1x7Y/edit?usp=sharing"",""แผน!AK83"")"),0)</f>
        <v>0</v>
      </c>
      <c r="J211" s="169">
        <v>0</v>
      </c>
      <c r="K211" s="154">
        <f t="shared" ref="K211:K213" ca="1" si="147">IF(I211&gt;0,J211*100/I211,0)</f>
        <v>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hidden="1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IFERROR(__xludf.DUMMYFUNCTION("IMPORTRANGE(""https://docs.google.com/spreadsheets/d/1eHaY18a8A9IcSdp1K8H6x8fbOy06t2VsZHhMHf-1x7Y/edit?usp=sharing"",""แผน!AK83"")"),0)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IFERROR(__xludf.DUMMYFUNCTION("IMPORTRANGE(""https://docs.google.com/spreadsheets/d/1eHaY18a8A9IcSdp1K8H6x8fbOy06t2VsZHhMHf-1x7Y/edit?usp=sharing"",""แผน!AM83"")"),0)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IFERROR(__xludf.DUMMYFUNCTION("IMPORTRANGE(""https://docs.google.com/spreadsheets/d/1eHaY18a8A9IcSdp1K8H6x8fbOy06t2VsZHhMHf-1x7Y/edit?usp=sharing"",""แผน!AN83"")"),0)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IFERROR(__xludf.DUMMYFUNCTION("IMPORTRANGE(""https://docs.google.com/spreadsheets/d/1eHaY18a8A9IcSdp1K8H6x8fbOy06t2VsZHhMHf-1x7Y/edit?usp=sharing"",""แผน!AO83"")"),0)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IFERROR(__xludf.DUMMYFUNCTION("IMPORTRANGE(""https://docs.google.com/spreadsheets/d/1eHaY18a8A9IcSdp1K8H6x8fbOy06t2VsZHhMHf-1x7Y/edit?usp=sharing"",""แผน!LY83"")"),0)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IFERROR(__xludf.DUMMYFUNCTION("IMPORTRANGE(""https://docs.google.com/spreadsheets/d/1eHaY18a8A9IcSdp1K8H6x8fbOy06t2VsZHhMHf-1x7Y/edit?usp=sharing"",""แผน!AP83"")"),0)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IFERROR(__xludf.DUMMYFUNCTION("IMPORTRANGE(""https://docs.google.com/spreadsheets/d/1eHaY18a8A9IcSdp1K8H6x8fbOy06t2VsZHhMHf-1x7Y/edit?usp=sharing"",""แผน!AP83"")"),0)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hidden="1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0</v>
      </c>
      <c r="J221" s="236">
        <f t="shared" si="150"/>
        <v>0</v>
      </c>
      <c r="K221" s="237">
        <f t="shared" ca="1" si="149"/>
        <v>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hidden="1" x14ac:dyDescent="0.3">
      <c r="A222" s="129"/>
      <c r="B222" s="200"/>
      <c r="C222" s="19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0</v>
      </c>
      <c r="M222" s="46"/>
      <c r="N222" s="133">
        <f>N223+N224+N225</f>
        <v>0</v>
      </c>
      <c r="O222" s="133">
        <f ca="1">IF(L222&gt;0,N222*100/L222,0)</f>
        <v>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9"/>
      <c r="B223" s="160"/>
      <c r="C223" s="200"/>
      <c r="D223" s="271" t="s">
        <v>86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IFERROR(__xludf.DUMMYFUNCTION("IMPORTRANGE(""https://docs.google.com/spreadsheets/d/1eHaY18a8A9IcSdp1K8H6x8fbOy06t2VsZHhMHf-1x7Y/edit?usp=sharing"",""แผน!AR83"")"),0)</f>
        <v>0</v>
      </c>
      <c r="M223" s="46"/>
      <c r="N223" s="639">
        <v>0</v>
      </c>
      <c r="O223" s="137"/>
      <c r="P223" s="46"/>
      <c r="Q223" s="46"/>
      <c r="R223" s="46"/>
      <c r="S223" s="46"/>
      <c r="T223" s="137"/>
      <c r="U223" s="46"/>
    </row>
    <row r="224" spans="1:21" ht="18.75" hidden="1" x14ac:dyDescent="0.25">
      <c r="A224" s="225"/>
      <c r="B224" s="160"/>
      <c r="C224" s="160"/>
      <c r="D224" s="271" t="s">
        <v>100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IFERROR(__xludf.DUMMYFUNCTION("IMPORTRANGE(""https://docs.google.com/spreadsheets/d/1eHaY18a8A9IcSdp1K8H6x8fbOy06t2VsZHhMHf-1x7Y/edit?usp=sharing"",""แผน!AS83"")"),0)</f>
        <v>0</v>
      </c>
      <c r="M224" s="46"/>
      <c r="N224" s="639">
        <v>0</v>
      </c>
      <c r="O224" s="137"/>
      <c r="P224" s="46"/>
      <c r="Q224" s="46"/>
      <c r="R224" s="46"/>
      <c r="S224" s="46"/>
      <c r="T224" s="137"/>
      <c r="U224" s="46"/>
    </row>
    <row r="225" spans="1:21" ht="18.75" hidden="1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IFERROR(__xludf.DUMMYFUNCTION("IMPORTRANGE(""https://docs.google.com/spreadsheets/d/1eHaY18a8A9IcSdp1K8H6x8fbOy06t2VsZHhMHf-1x7Y/edit?usp=sharing"",""แผน!AT83"")"),0)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hidden="1" x14ac:dyDescent="0.3">
      <c r="A226" s="139"/>
      <c r="B226" s="140"/>
      <c r="C226" s="367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hidden="1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hidden="1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IFERROR(__xludf.DUMMYFUNCTION("IMPORTRANGE(""https://docs.google.com/spreadsheets/d/1eHaY18a8A9IcSdp1K8H6x8fbOy06t2VsZHhMHf-1x7Y/edit?usp=sharing"",""แผน!AV83"")"),0)</f>
        <v>0</v>
      </c>
      <c r="J228" s="169">
        <v>0</v>
      </c>
      <c r="K228" s="154">
        <f t="shared" ref="K228:K231" ca="1" si="151">IF(I228&gt;0,J228*100/I228,0)</f>
        <v>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hidden="1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IFERROR(__xludf.DUMMYFUNCTION("IMPORTRANGE(""https://docs.google.com/spreadsheets/d/1eHaY18a8A9IcSdp1K8H6x8fbOy06t2VsZHhMHf-1x7Y/edit?usp=sharing"",""แผน!AV83"")"),0)</f>
        <v>0</v>
      </c>
      <c r="J229" s="169">
        <v>0</v>
      </c>
      <c r="K229" s="154">
        <f t="shared" ca="1" si="151"/>
        <v>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IFERROR(__xludf.DUMMYFUNCTION("IMPORTRANGE(""https://docs.google.com/spreadsheets/d/1eHaY18a8A9IcSdp1K8H6x8fbOy06t2VsZHhMHf-1x7Y/edit?usp=sharing"",""แผน!AU83"")"),0)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IFERROR(__xludf.DUMMYFUNCTION("IMPORTRANGE(""https://docs.google.com/spreadsheets/d/1eHaY18a8A9IcSdp1K8H6x8fbOy06t2VsZHhMHf-1x7Y/edit?usp=sharing"",""แผน!AX83"")"),0)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IFERROR(__xludf.DUMMYFUNCTION("IMPORTRANGE(""https://docs.google.com/spreadsheets/d/1eHaY18a8A9IcSdp1K8H6x8fbOy06t2VsZHhMHf-1x7Y/edit?usp=sharing"",""แผน!AY83"")"),0)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IFERROR(__xludf.DUMMYFUNCTION("IMPORTRANGE(""https://docs.google.com/spreadsheets/d/1eHaY18a8A9IcSdp1K8H6x8fbOy06t2VsZHhMHf-1x7Y/edit?usp=sharing"",""แผน!AZ83"")"),0)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IFERROR(__xludf.DUMMYFUNCTION("IMPORTRANGE(""https://docs.google.com/spreadsheets/d/1eHaY18a8A9IcSdp1K8H6x8fbOy06t2VsZHhMHf-1x7Y/edit?usp=sharing"",""แผน!BA83"")"),0)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IFERROR(__xludf.DUMMYFUNCTION("IMPORTRANGE(""https://docs.google.com/spreadsheets/d/1eHaY18a8A9IcSdp1K8H6x8fbOy06t2VsZHhMHf-1x7Y/edit?usp=sharing"",""แผน!BG83"")"),0)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IFERROR(__xludf.DUMMYFUNCTION("IMPORTRANGE(""https://docs.google.com/spreadsheets/d/1eHaY18a8A9IcSdp1K8H6x8fbOy06t2VsZHhMHf-1x7Y/edit?usp=sharing"",""แผน!BB83"")"),0)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IFERROR(__xludf.DUMMYFUNCTION("IMPORTRANGE(""https://docs.google.com/spreadsheets/d/1eHaY18a8A9IcSdp1K8H6x8fbOy06t2VsZHhMHf-1x7Y/edit?usp=sharing"",""แผน!BC83"")"),0)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IFERROR(__xludf.DUMMYFUNCTION("IMPORTRANGE(""https://docs.google.com/spreadsheets/d/1eHaY18a8A9IcSdp1K8H6x8fbOy06t2VsZHhMHf-1x7Y/edit?usp=sharing"",""แผน!BD83"")"),0)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IFERROR(__xludf.DUMMYFUNCTION("IMPORTRANGE(""https://docs.google.com/spreadsheets/d/1eHaY18a8A9IcSdp1K8H6x8fbOy06t2VsZHhMHf-1x7Y/edit?usp=sharing"",""แผน!BE83"")"),0)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IFERROR(__xludf.DUMMYFUNCTION("IMPORTRANGE(""https://docs.google.com/spreadsheets/d/1eHaY18a8A9IcSdp1K8H6x8fbOy06t2VsZHhMHf-1x7Y/edit?usp=sharing"",""แผน!BH83"")"),0)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22</v>
      </c>
      <c r="J265" s="686">
        <f t="shared" si="162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23700</v>
      </c>
      <c r="N266" s="441">
        <f t="shared" ca="1" si="163"/>
        <v>23700</v>
      </c>
      <c r="O266" s="441">
        <f t="shared" ref="O266:O274" ca="1" si="164">IF(L266&gt;0,N266*100/L266,0)</f>
        <v>474</v>
      </c>
      <c r="P266" s="441">
        <f t="shared" ref="P266:P274" ca="1" si="165">IF(M266&gt;0,N266*100/M266,0)</f>
        <v>100</v>
      </c>
      <c r="Q266" s="441">
        <f t="shared" ref="Q266:S266" ca="1" si="166">Q267+Q268</f>
        <v>50660</v>
      </c>
      <c r="R266" s="441">
        <f t="shared" ca="1" si="166"/>
        <v>50660</v>
      </c>
      <c r="S266" s="441">
        <f t="shared" ca="1" si="166"/>
        <v>52660</v>
      </c>
      <c r="T266" s="441">
        <f t="shared" ref="T266:T274" ca="1" si="167">IF(Q266&gt;0,S266*100/Q266,0)</f>
        <v>103.94788787998421</v>
      </c>
      <c r="U266" s="441">
        <f t="shared" ref="U266:U274" ca="1" si="168">IF(R266&gt;0,S266*100/R266,0)</f>
        <v>103.94788787998421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23700</v>
      </c>
      <c r="N268" s="352">
        <f t="shared" ca="1" si="169"/>
        <v>23700</v>
      </c>
      <c r="O268" s="352">
        <f t="shared" ca="1" si="164"/>
        <v>474</v>
      </c>
      <c r="P268" s="352">
        <f t="shared" ca="1" si="165"/>
        <v>100</v>
      </c>
      <c r="Q268" s="352">
        <f t="shared" ca="1" si="170"/>
        <v>50660</v>
      </c>
      <c r="R268" s="352">
        <f t="shared" ca="1" si="170"/>
        <v>50660</v>
      </c>
      <c r="S268" s="352">
        <f t="shared" ca="1" si="170"/>
        <v>52660</v>
      </c>
      <c r="T268" s="352">
        <f t="shared" ca="1" si="167"/>
        <v>103.94788787998421</v>
      </c>
      <c r="U268" s="352">
        <f t="shared" ca="1" si="168"/>
        <v>103.94788787998421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23700</v>
      </c>
      <c r="N269" s="352">
        <f t="shared" ca="1" si="171"/>
        <v>23700</v>
      </c>
      <c r="O269" s="352">
        <f t="shared" ca="1" si="164"/>
        <v>474</v>
      </c>
      <c r="P269" s="352">
        <f t="shared" ca="1" si="165"/>
        <v>100</v>
      </c>
      <c r="Q269" s="352">
        <f t="shared" ref="Q269:S269" ca="1" si="172">Q270+Q271</f>
        <v>50660</v>
      </c>
      <c r="R269" s="352">
        <f t="shared" ca="1" si="172"/>
        <v>50660</v>
      </c>
      <c r="S269" s="352">
        <f t="shared" ca="1" si="172"/>
        <v>52660</v>
      </c>
      <c r="T269" s="352">
        <f t="shared" ca="1" si="167"/>
        <v>103.94788787998421</v>
      </c>
      <c r="U269" s="352">
        <f t="shared" ca="1" si="168"/>
        <v>103.94788787998421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IFERROR(__xludf.DUMMYFUNCTION("IMPORTRANGE(""https://docs.google.com/spreadsheets/d/1-uDff_7J0KD5mKrp0Vvzr7lt3OU09vwQwhkpOPPYv2Y/edit?usp=sharing"",""งบพรบ!DE83"")"),5000)</f>
        <v>5000</v>
      </c>
      <c r="M271" s="352">
        <f ca="1">IFERROR(__xludf.DUMMYFUNCTION("IMPORTRANGE(""https://docs.google.com/spreadsheets/d/1-uDff_7J0KD5mKrp0Vvzr7lt3OU09vwQwhkpOPPYv2Y/edit?usp=sharing"",""งบพรบ!DJ83"")"),23700)</f>
        <v>23700</v>
      </c>
      <c r="N271" s="352">
        <f ca="1">IFERROR(__xludf.DUMMYFUNCTION("IMPORTRANGE(""https://docs.google.com/spreadsheets/d/1-uDff_7J0KD5mKrp0Vvzr7lt3OU09vwQwhkpOPPYv2Y/edit?usp=sharing"",""งบพรบ!DL83"")"),23700)</f>
        <v>23700</v>
      </c>
      <c r="O271" s="352">
        <f t="shared" ca="1" si="164"/>
        <v>474</v>
      </c>
      <c r="P271" s="352">
        <f t="shared" ca="1" si="165"/>
        <v>100</v>
      </c>
      <c r="Q271" s="352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352">
        <f ca="1">IFERROR(__xludf.DUMMYFUNCTION("IMPORTRANGE(""https://docs.google.com/spreadsheets/d/1ItG2mGa2ceCfYo0BwxsXqNm01IGEUdYcSSLTEv9YCik/edit?usp=sharing"",""เบิกจ่ายกองทุน!AR83"")"),52660)</f>
        <v>52660</v>
      </c>
      <c r="T271" s="352">
        <f t="shared" ca="1" si="167"/>
        <v>103.94788787998421</v>
      </c>
      <c r="U271" s="352">
        <f t="shared" ca="1" si="168"/>
        <v>103.94788787998421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IFERROR(__xludf.DUMMYFUNCTION("IMPORTRANGE(""https://docs.google.com/spreadsheets/d/1-uDff_7J0KD5mKrp0Vvzr7lt3OU09vwQwhkpOPPYv2Y/edit?usp=sharing"",""งบพรบ!DH83"")"),0)</f>
        <v>0</v>
      </c>
      <c r="M274" s="352">
        <f ca="1">IFERROR(__xludf.DUMMYFUNCTION("IMPORTRANGE(""https://docs.google.com/spreadsheets/d/1-uDff_7J0KD5mKrp0Vvzr7lt3OU09vwQwhkpOPPYv2Y/edit?usp=sharing"",""งบพรบ!DK83"")"),0)</f>
        <v>0</v>
      </c>
      <c r="N274" s="352">
        <f ca="1">IFERROR(__xludf.DUMMYFUNCTION("IMPORTRANGE(""https://docs.google.com/spreadsheets/d/1-uDff_7J0KD5mKrp0Vvzr7lt3OU09vwQwhkpOPPYv2Y/edit?usp=sharing"",""งบพรบ!DM83"")"),0)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IFERROR(__xludf.DUMMYFUNCTION("IMPORTRANGE(""https://docs.google.com/spreadsheets/d/1eHaY18a8A9IcSdp1K8H6x8fbOy06t2VsZHhMHf-1x7Y/edit?usp=sharing"",""แผน!EC83"")"),22)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IFERROR(__xludf.DUMMYFUNCTION("IMPORTRANGE(""https://docs.google.com/spreadsheets/d/1eHaY18a8A9IcSdp1K8H6x8fbOy06t2VsZHhMHf-1x7Y/edit?usp=sharing"",""แผน!EE83"")"),0)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IFERROR(__xludf.DUMMYFUNCTION("IMPORTRANGE(""https://docs.google.com/spreadsheets/d/1eHaY18a8A9IcSdp1K8H6x8fbOy06t2VsZHhMHf-1x7Y/edit?usp=sharing"",""แผน!ED83"")"),0)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IFERROR(__xludf.DUMMYFUNCTION("IMPORTRANGE(""https://docs.google.com/spreadsheets/d/1eHaY18a8A9IcSdp1K8H6x8fbOy06t2VsZHhMHf-1x7Y/edit?usp=sharing"",""แผน!ED83"")"),0)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IFERROR(__xludf.DUMMYFUNCTION("IMPORTRANGE(""https://docs.google.com/spreadsheets/d/1eHaY18a8A9IcSdp1K8H6x8fbOy06t2VsZHhMHf-1x7Y/edit?usp=sharing"",""แผน!ED83"")"),0)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hidden="1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hidden="1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0</v>
      </c>
      <c r="J302" s="321">
        <f t="shared" si="192"/>
        <v>0</v>
      </c>
      <c r="K302" s="322">
        <f ca="1">IF(I302&gt;0,J302*100/I302,0)</f>
        <v>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hidden="1" x14ac:dyDescent="0.3">
      <c r="A303" s="129"/>
      <c r="B303" s="200"/>
      <c r="C303" s="19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0</v>
      </c>
      <c r="R303" s="133">
        <f t="shared" ca="1" si="196"/>
        <v>0</v>
      </c>
      <c r="S303" s="133">
        <f t="shared" ca="1" si="196"/>
        <v>0</v>
      </c>
      <c r="T303" s="133">
        <f t="shared" ref="T303:T311" ca="1" si="197">IF(Q303&gt;0,S303*100/Q303,0)</f>
        <v>0</v>
      </c>
      <c r="U303" s="133">
        <f t="shared" ref="U303:U311" ca="1" si="198">IF(R303&gt;0,S303*100/R303,0)</f>
        <v>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0</v>
      </c>
      <c r="R305" s="47">
        <f t="shared" ca="1" si="200"/>
        <v>0</v>
      </c>
      <c r="S305" s="47">
        <f t="shared" ca="1" si="200"/>
        <v>0</v>
      </c>
      <c r="T305" s="47">
        <f t="shared" ca="1" si="197"/>
        <v>0</v>
      </c>
      <c r="U305" s="47">
        <f t="shared" ca="1" si="198"/>
        <v>0</v>
      </c>
    </row>
    <row r="306" spans="1:21" ht="18.75" hidden="1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0</v>
      </c>
      <c r="R306" s="47">
        <f t="shared" ca="1" si="202"/>
        <v>0</v>
      </c>
      <c r="S306" s="47">
        <f t="shared" ca="1" si="202"/>
        <v>0</v>
      </c>
      <c r="T306" s="47">
        <f t="shared" ca="1" si="197"/>
        <v>0</v>
      </c>
      <c r="U306" s="47">
        <f t="shared" ca="1" si="198"/>
        <v>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t="shared" ca="1" si="197"/>
        <v>0</v>
      </c>
      <c r="U308" s="47">
        <f t="shared" ca="1" si="198"/>
        <v>0</v>
      </c>
    </row>
    <row r="309" spans="1:21" ht="18.75" hidden="1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hidden="1" x14ac:dyDescent="0.3">
      <c r="A312" s="139"/>
      <c r="B312" s="140"/>
      <c r="C312" s="19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IFERROR(__xludf.DUMMYFUNCTION("IMPORTRANGE(""https://docs.google.com/spreadsheets/d/1eHaY18a8A9IcSdp1K8H6x8fbOy06t2VsZHhMHf-1x7Y/edit?usp=sharing"",""แผน!EF83"")"),0)</f>
        <v>0</v>
      </c>
      <c r="J314" s="169">
        <v>0</v>
      </c>
      <c r="K314" s="47">
        <f ca="1">IF(I314&gt;0,J314*100/I314,0)</f>
        <v>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t="shared" ca="1" si="207"/>
        <v>0</v>
      </c>
      <c r="P325" s="47">
        <f t="shared" ca="1" si="208"/>
        <v>0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IFERROR(__xludf.DUMMYFUNCTION("IMPORTRANGE(""https://docs.google.com/spreadsheets/d/1eHaY18a8A9IcSdp1K8H6x8fbOy06t2VsZHhMHf-1x7Y/edit?usp=sharing"",""แผน!EJ83"")"),0)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IFERROR(__xludf.DUMMYFUNCTION("IMPORTRANGE(""https://docs.google.com/spreadsheets/d/1eHaY18a8A9IcSdp1K8H6x8fbOy06t2VsZHhMHf-1x7Y/edit?usp=sharing"",""แผน!EK83"")"),180)</f>
        <v>180</v>
      </c>
      <c r="J332" s="718">
        <f ca="1">J344+J347+J348+J349+J353+J354</f>
        <v>420</v>
      </c>
      <c r="K332" s="719">
        <f ca="1">IF(I332&gt;0,J332*100/I332,0)</f>
        <v>233.33333333333334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356800</v>
      </c>
      <c r="M333" s="133">
        <f t="shared" ca="1" si="218"/>
        <v>356800</v>
      </c>
      <c r="N333" s="133">
        <f t="shared" ca="1" si="218"/>
        <v>340812.52</v>
      </c>
      <c r="O333" s="133">
        <f t="shared" ref="O333:O341" ca="1" si="219">IF(L333&gt;0,N333*100/L333,0)</f>
        <v>95.519204035874438</v>
      </c>
      <c r="P333" s="133">
        <f t="shared" ref="P333:P341" ca="1" si="220">IF(M333&gt;0,N333*100/M333,0)</f>
        <v>95.519204035874438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356800</v>
      </c>
      <c r="M335" s="47">
        <f t="shared" ca="1" si="224"/>
        <v>356800</v>
      </c>
      <c r="N335" s="47">
        <f t="shared" ca="1" si="224"/>
        <v>340812.52</v>
      </c>
      <c r="O335" s="47">
        <f t="shared" ca="1" si="219"/>
        <v>95.519204035874438</v>
      </c>
      <c r="P335" s="47">
        <f t="shared" ca="1" si="220"/>
        <v>95.519204035874438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356800</v>
      </c>
      <c r="M336" s="47">
        <f t="shared" ca="1" si="226"/>
        <v>356800</v>
      </c>
      <c r="N336" s="47">
        <f t="shared" ca="1" si="226"/>
        <v>340812.52</v>
      </c>
      <c r="O336" s="47">
        <f t="shared" ca="1" si="219"/>
        <v>95.519204035874438</v>
      </c>
      <c r="P336" s="47">
        <f t="shared" ca="1" si="220"/>
        <v>95.519204035874438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IFERROR(__xludf.DUMMYFUNCTION("IMPORTRANGE(""https://docs.google.com/spreadsheets/d/1-uDff_7J0KD5mKrp0Vvzr7lt3OU09vwQwhkpOPPYv2Y/edit?usp=sharing"",""งบพรบ!EX83"")"),356800)</f>
        <v>356800</v>
      </c>
      <c r="N338" s="47">
        <f ca="1">IFERROR(__xludf.DUMMYFUNCTION("IMPORTRANGE(""https://docs.google.com/spreadsheets/d/1-uDff_7J0KD5mKrp0Vvzr7lt3OU09vwQwhkpOPPYv2Y/edit?usp=sharing"",""งบพรบ!EZ83"")"),340812.52)</f>
        <v>340812.52</v>
      </c>
      <c r="O338" s="47">
        <f t="shared" ca="1" si="219"/>
        <v>95.519204035874438</v>
      </c>
      <c r="P338" s="47">
        <f t="shared" ca="1" si="220"/>
        <v>95.519204035874438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t="shared" ca="1" si="219"/>
        <v>0</v>
      </c>
      <c r="P341" s="47">
        <f t="shared" ca="1" si="220"/>
        <v>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152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IFERROR(__xludf.DUMMYFUNCTION("IMPORTRANGE(""https://docs.google.com/spreadsheets/d/1awYsYK3VOup2i3Pq_Yjnu8DRu_mYwSBnCR2QPthd0rU/edit?usp=sharing"",""ศูนย์ยกเว้นโฉนด!D83"")"),149)</f>
        <v>149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IFERROR(__xludf.DUMMYFUNCTION("IMPORTRANGE(""https://docs.google.com/spreadsheets/d/1eHaY18a8A9IcSdp1K8H6x8fbOy06t2VsZHhMHf-1x7Y/edit?usp=sharing"",""แผน!EL83"")"),2)</f>
        <v>2</v>
      </c>
      <c r="J346" s="37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IFERROR(__xludf.DUMMYFUNCTION("IMPORTRANGE(""https://docs.google.com/spreadsheets/d/1awYsYK3VOup2i3Pq_Yjnu8DRu_mYwSBnCR2QPthd0rU/edit?usp=sharing"",""ศูนย์ยกเว้นโฉนด!F83"")"),3)</f>
        <v>3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268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IFERROR(__xludf.DUMMYFUNCTION("IMPORTRANGE(""https://docs.google.com/spreadsheets/d/1awYsYK3VOup2i3Pq_Yjnu8DRu_mYwSBnCR2QPthd0rU/edit?usp=sharing"",""โฉนดM3!G83"")"),2)</f>
        <v>2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IFERROR(__xludf.DUMMYFUNCTION("IMPORTRANGE(""https://docs.google.com/spreadsheets/d/1awYsYK3VOup2i3Pq_Yjnu8DRu_mYwSBnCR2QPthd0rU/edit?usp=sharing"",""โฉนดM3!H83"")"),129)</f>
        <v>129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IFERROR(__xludf.DUMMYFUNCTION("IMPORTRANGE(""https://docs.google.com/spreadsheets/d/1awYsYK3VOup2i3Pq_Yjnu8DRu_mYwSBnCR2QPthd0rU/edit?usp=sharing"",""โฉนดM3!I83"")"),139)</f>
        <v>139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363490</v>
      </c>
      <c r="M356" s="133">
        <f t="shared" ca="1" si="230"/>
        <v>406490</v>
      </c>
      <c r="N356" s="133">
        <f t="shared" ca="1" si="230"/>
        <v>364235</v>
      </c>
      <c r="O356" s="133">
        <f t="shared" ref="O356:O364" ca="1" si="231">IF(L356&gt;0,N356*100/L356,0)</f>
        <v>100.20495749539189</v>
      </c>
      <c r="P356" s="133">
        <f t="shared" ref="P356:P364" ca="1" si="232">IF(M356&gt;0,N356*100/M356,0)</f>
        <v>89.604910329897407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363490</v>
      </c>
      <c r="M358" s="47">
        <f t="shared" ca="1" si="236"/>
        <v>406490</v>
      </c>
      <c r="N358" s="47">
        <f t="shared" ca="1" si="236"/>
        <v>364235</v>
      </c>
      <c r="O358" s="47">
        <f t="shared" ca="1" si="231"/>
        <v>100.20495749539189</v>
      </c>
      <c r="P358" s="47">
        <f t="shared" ca="1" si="232"/>
        <v>89.604910329897407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363490</v>
      </c>
      <c r="M359" s="47">
        <f t="shared" ca="1" si="238"/>
        <v>406490</v>
      </c>
      <c r="N359" s="47">
        <f t="shared" ca="1" si="238"/>
        <v>364235</v>
      </c>
      <c r="O359" s="47">
        <f t="shared" ca="1" si="231"/>
        <v>100.20495749539189</v>
      </c>
      <c r="P359" s="47">
        <f t="shared" ca="1" si="232"/>
        <v>89.604910329897407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IFERROR(__xludf.DUMMYFUNCTION("IMPORTRANGE(""https://docs.google.com/spreadsheets/d/1-uDff_7J0KD5mKrp0Vvzr7lt3OU09vwQwhkpOPPYv2Y/edit?usp=sharing"",""งบพรบ!FH83"")"),406490)</f>
        <v>406490</v>
      </c>
      <c r="N361" s="47">
        <f ca="1">IFERROR(__xludf.DUMMYFUNCTION("IMPORTRANGE(""https://docs.google.com/spreadsheets/d/1-uDff_7J0KD5mKrp0Vvzr7lt3OU09vwQwhkpOPPYv2Y/edit?usp=sharing"",""งบพรบ!FJ83"")"),364235)</f>
        <v>364235</v>
      </c>
      <c r="O361" s="47">
        <f t="shared" ca="1" si="231"/>
        <v>100.20495749539189</v>
      </c>
      <c r="P361" s="47">
        <f t="shared" ca="1" si="232"/>
        <v>89.604910329897407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42</v>
      </c>
      <c r="J365" s="236">
        <f t="shared" ca="1" si="242"/>
        <v>50</v>
      </c>
      <c r="K365" s="237">
        <f ca="1">IF(I365&gt;0,J365*100/I365,0)</f>
        <v>119.04761904761905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IFERROR(__xludf.DUMMYFUNCTION("IMPORTRANGE(""https://docs.google.com/spreadsheets/d/1tdoBKaGub7dwA3U6UFTqxio9LNnvDCQjHKmttSEBsFQ/edit?usp=sharing"",""จัดที่ดิน!AB83"")"),33)</f>
        <v>33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IFERROR(__xludf.DUMMYFUNCTION("IMPORTRANGE(""https://docs.google.com/spreadsheets/d/1eHaY18a8A9IcSdp1K8H6x8fbOy06t2VsZHhMHf-1x7Y/edit?usp=sharing"",""แผน!EW83"")"),175)</f>
        <v>175</v>
      </c>
      <c r="J368" s="729">
        <f ca="1">IFERROR(__xludf.DUMMYFUNCTION("IMPORTRANGE(""https://docs.google.com/spreadsheets/d/1tdoBKaGub7dwA3U6UFTqxio9LNnvDCQjHKmttSEBsFQ/edit?usp=sharing"",""จัดที่ดิน!AC83"")"),156.45)</f>
        <v>156.44999999999999</v>
      </c>
      <c r="K368" s="47">
        <f t="shared" ca="1" si="243"/>
        <v>89.399999999999991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IFERROR(__xludf.DUMMYFUNCTION("IMPORTRANGE(""https://docs.google.com/spreadsheets/d/1eHaY18a8A9IcSdp1K8H6x8fbOy06t2VsZHhMHf-1x7Y/edit?usp=sharing"",""แผน!EX83"")"),42)</f>
        <v>42</v>
      </c>
      <c r="J369" s="372">
        <f ca="1">IFERROR(__xludf.DUMMYFUNCTION("IMPORTRANGE(""https://docs.google.com/spreadsheets/d/1tdoBKaGub7dwA3U6UFTqxio9LNnvDCQjHKmttSEBsFQ/edit?usp=sharing"",""จัดที่ดิน!AD83"")"),50)</f>
        <v>50</v>
      </c>
      <c r="K369" s="47">
        <f t="shared" ca="1" si="243"/>
        <v>119.04761904761905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IFERROR(__xludf.DUMMYFUNCTION("IMPORTRANGE(""https://docs.google.com/spreadsheets/d/1tdoBKaGub7dwA3U6UFTqxio9LNnvDCQjHKmttSEBsFQ/edit?usp=sharing"",""จัดที่ดิน!AE83"")"),374.44)</f>
        <v>374.44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IFERROR(__xludf.DUMMYFUNCTION("IMPORTRANGE(""https://docs.google.com/spreadsheets/d/1eHaY18a8A9IcSdp1K8H6x8fbOy06t2VsZHhMHf-1x7Y/edit?usp=sharing"",""แผน!EY83"")"),42)</f>
        <v>42</v>
      </c>
      <c r="J371" s="372">
        <f ca="1">IFERROR(__xludf.DUMMYFUNCTION("IMPORTRANGE(""https://docs.google.com/spreadsheets/d/1tdoBKaGub7dwA3U6UFTqxio9LNnvDCQjHKmttSEBsFQ/edit?usp=sharing"",""จัดที่ดิน!AF83"")"),50)</f>
        <v>50</v>
      </c>
      <c r="K371" s="47">
        <f t="shared" ca="1" si="243"/>
        <v>119.04761904761905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IFERROR(__xludf.DUMMYFUNCTION("IMPORTRANGE(""https://docs.google.com/spreadsheets/d/1tdoBKaGub7dwA3U6UFTqxio9LNnvDCQjHKmttSEBsFQ/edit?usp=sharing"",""จัดที่ดิน!AG83"")"),374.44)</f>
        <v>374.44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200</v>
      </c>
      <c r="J374" s="737">
        <f t="shared" ca="1" si="244"/>
        <v>17</v>
      </c>
      <c r="K374" s="738">
        <f ca="1">IF(I374&gt;0,J374*100/I374,0)</f>
        <v>8.5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41000</v>
      </c>
      <c r="M375" s="133">
        <f t="shared" ca="1" si="245"/>
        <v>41000</v>
      </c>
      <c r="N375" s="133">
        <f t="shared" ca="1" si="245"/>
        <v>40520</v>
      </c>
      <c r="O375" s="133">
        <f t="shared" ref="O375:O383" ca="1" si="246">IF(L375&gt;0,N375*100/L375,0)</f>
        <v>98.829268292682926</v>
      </c>
      <c r="P375" s="133">
        <f t="shared" ref="P375:P383" ca="1" si="247">IF(M375&gt;0,N375*100/M375,0)</f>
        <v>98.829268292682926</v>
      </c>
      <c r="Q375" s="133">
        <f t="shared" ref="Q375:S375" ca="1" si="248">Q376+Q377</f>
        <v>12500</v>
      </c>
      <c r="R375" s="133">
        <f t="shared" ca="1" si="248"/>
        <v>12500</v>
      </c>
      <c r="S375" s="133">
        <f t="shared" ca="1" si="248"/>
        <v>10354.31</v>
      </c>
      <c r="T375" s="133">
        <f t="shared" ref="T375:T383" ca="1" si="249">IF(Q375&gt;0,S375*100/Q375,0)</f>
        <v>82.834479999999999</v>
      </c>
      <c r="U375" s="133">
        <f t="shared" ref="U375:U383" ca="1" si="250">IF(R375&gt;0,S375*100/R375,0)</f>
        <v>82.834479999999999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41000</v>
      </c>
      <c r="M377" s="47">
        <f t="shared" ca="1" si="251"/>
        <v>41000</v>
      </c>
      <c r="N377" s="47">
        <f t="shared" ca="1" si="251"/>
        <v>40520</v>
      </c>
      <c r="O377" s="47">
        <f t="shared" ca="1" si="246"/>
        <v>98.829268292682926</v>
      </c>
      <c r="P377" s="47">
        <f t="shared" ca="1" si="247"/>
        <v>98.829268292682926</v>
      </c>
      <c r="Q377" s="47">
        <f t="shared" ca="1" si="252"/>
        <v>12500</v>
      </c>
      <c r="R377" s="47">
        <f t="shared" ca="1" si="252"/>
        <v>12500</v>
      </c>
      <c r="S377" s="47">
        <f t="shared" ca="1" si="252"/>
        <v>10354.31</v>
      </c>
      <c r="T377" s="47">
        <f t="shared" ca="1" si="249"/>
        <v>82.834479999999999</v>
      </c>
      <c r="U377" s="47">
        <f t="shared" ca="1" si="250"/>
        <v>82.834479999999999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41000</v>
      </c>
      <c r="M378" s="47">
        <f t="shared" ca="1" si="253"/>
        <v>41000</v>
      </c>
      <c r="N378" s="47">
        <f t="shared" ca="1" si="253"/>
        <v>40520</v>
      </c>
      <c r="O378" s="47">
        <f t="shared" ca="1" si="246"/>
        <v>98.829268292682926</v>
      </c>
      <c r="P378" s="47">
        <f t="shared" ca="1" si="247"/>
        <v>98.829268292682926</v>
      </c>
      <c r="Q378" s="47">
        <f t="shared" ref="Q378:S378" ca="1" si="254">Q379+Q380</f>
        <v>12500</v>
      </c>
      <c r="R378" s="47">
        <f t="shared" ca="1" si="254"/>
        <v>12500</v>
      </c>
      <c r="S378" s="47">
        <f t="shared" ca="1" si="254"/>
        <v>10354.31</v>
      </c>
      <c r="T378" s="47">
        <f t="shared" ca="1" si="249"/>
        <v>82.834479999999999</v>
      </c>
      <c r="U378" s="47">
        <f t="shared" ca="1" si="250"/>
        <v>82.834479999999999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IFERROR(__xludf.DUMMYFUNCTION("IMPORTRANGE(""https://docs.google.com/spreadsheets/d/1-uDff_7J0KD5mKrp0Vvzr7lt3OU09vwQwhkpOPPYv2Y/edit?usp=sharing"",""งบพรบ!IL83"")"),40520)</f>
        <v>40520</v>
      </c>
      <c r="O380" s="47">
        <f t="shared" ca="1" si="246"/>
        <v>98.829268292682926</v>
      </c>
      <c r="P380" s="47">
        <f t="shared" ca="1" si="247"/>
        <v>98.829268292682926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IFERROR(__xludf.DUMMYFUNCTION("IMPORTRANGE(""https://docs.google.com/spreadsheets/d/1ItG2mGa2ceCfYo0BwxsXqNm01IGEUdYcSSLTEv9YCik/edit?usp=sharing"",""เบิกจ่ายกองทุน!BY83"")"),10354.31)</f>
        <v>10354.31</v>
      </c>
      <c r="T380" s="47">
        <f t="shared" ca="1" si="249"/>
        <v>82.834479999999999</v>
      </c>
      <c r="U380" s="47">
        <f t="shared" ca="1" si="250"/>
        <v>82.834479999999999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IFERROR(__xludf.DUMMYFUNCTION("IMPORTRANGE(""https://docs.google.com/spreadsheets/d/1w5rwWK1o49a35cNtocGL0gxDwhFSTZUQu90BiH9_zqM/edit?usp=sharing"",""RTK!H83"")"),5)</f>
        <v>5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IFERROR(__xludf.DUMMYFUNCTION("IMPORTRANGE(""https://docs.google.com/spreadsheets/d/1w5rwWK1o49a35cNtocGL0gxDwhFSTZUQu90BiH9_zqM/edit?usp=sharing"",""RTK!G83"")"),200)</f>
        <v>200</v>
      </c>
      <c r="J386" s="372">
        <f ca="1">IFERROR(__xludf.DUMMYFUNCTION("IMPORTRANGE(""https://docs.google.com/spreadsheets/d/1w5rwWK1o49a35cNtocGL0gxDwhFSTZUQu90BiH9_zqM/edit?usp=sharing"",""RTK!I83"")"),17)</f>
        <v>17</v>
      </c>
      <c r="K386" s="47">
        <f t="shared" ca="1" si="257"/>
        <v>8.5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IFERROR(__xludf.DUMMYFUNCTION("IMPORTRANGE(""https://docs.google.com/spreadsheets/d/1w5rwWK1o49a35cNtocGL0gxDwhFSTZUQu90BiH9_zqM/edit?usp=sharing"",""RTK!L83"")"),0)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IFERROR(__xludf.DUMMYFUNCTION("IMPORTRANGE(""https://docs.google.com/spreadsheets/d/1w5rwWK1o49a35cNtocGL0gxDwhFSTZUQu90BiH9_zqM/edit?usp=sharing"",""RTK!K83"")"),0)</f>
        <v>0</v>
      </c>
      <c r="J388" s="351">
        <f ca="1">IFERROR(__xludf.DUMMYFUNCTION("IMPORTRANGE(""https://docs.google.com/spreadsheets/d/1w5rwWK1o49a35cNtocGL0gxDwhFSTZUQu90BiH9_zqM/edit?usp=sharing"",""RTK!M83"")"),0)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hidden="1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hidden="1" x14ac:dyDescent="0.3">
      <c r="A413" s="129"/>
      <c r="B413" s="160"/>
      <c r="C413" s="361" t="s">
        <v>18</v>
      </c>
      <c r="D413" s="866" t="s">
        <v>19</v>
      </c>
      <c r="E413" s="540"/>
      <c r="F413" s="540"/>
      <c r="G413" s="541"/>
      <c r="H413" s="362" t="s">
        <v>14</v>
      </c>
      <c r="I413" s="45"/>
      <c r="J413" s="45"/>
      <c r="K413" s="46"/>
      <c r="L413" s="617">
        <f t="shared" ref="L413:N413" ca="1" si="272">L414+L415</f>
        <v>0</v>
      </c>
      <c r="M413" s="133">
        <f t="shared" ca="1" si="272"/>
        <v>31340</v>
      </c>
      <c r="N413" s="133">
        <f t="shared" ca="1" si="272"/>
        <v>31340</v>
      </c>
      <c r="O413" s="133">
        <f t="shared" ref="O413:O421" ca="1" si="273">IF(L413&gt;0,N413*100/L413,0)</f>
        <v>0</v>
      </c>
      <c r="P413" s="133">
        <f t="shared" ref="P413:P421" ca="1" si="274">IF(M413&gt;0,N413*100/M413,0)</f>
        <v>100</v>
      </c>
      <c r="Q413" s="133">
        <f t="shared" ref="Q413:S413" ca="1" si="275">Q414+Q415</f>
        <v>0</v>
      </c>
      <c r="R413" s="133">
        <f t="shared" ca="1" si="275"/>
        <v>0</v>
      </c>
      <c r="S413" s="133">
        <f t="shared" ca="1" si="275"/>
        <v>0</v>
      </c>
      <c r="T413" s="133">
        <f t="shared" ref="T413:T421" ca="1" si="276">IF(Q413&gt;0,S413*100/Q413,0)</f>
        <v>0</v>
      </c>
      <c r="U413" s="133">
        <f t="shared" ref="U413:U421" ca="1" si="277">IF(R413&gt;0,S413*100/R413,0)</f>
        <v>0</v>
      </c>
    </row>
    <row r="414" spans="1:21" ht="18.75" hidden="1" x14ac:dyDescent="0.25">
      <c r="A414" s="129"/>
      <c r="B414" s="160"/>
      <c r="C414" s="160"/>
      <c r="D414" s="160"/>
      <c r="E414" s="511" t="s">
        <v>162</v>
      </c>
      <c r="F414" s="160"/>
      <c r="G414" s="19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0</v>
      </c>
      <c r="M415" s="47">
        <f t="shared" ca="1" si="278"/>
        <v>31340</v>
      </c>
      <c r="N415" s="47">
        <f t="shared" ca="1" si="278"/>
        <v>31340</v>
      </c>
      <c r="O415" s="47">
        <f t="shared" ca="1" si="273"/>
        <v>0</v>
      </c>
      <c r="P415" s="47">
        <f t="shared" ca="1" si="274"/>
        <v>100</v>
      </c>
      <c r="Q415" s="47">
        <f t="shared" ca="1" si="279"/>
        <v>0</v>
      </c>
      <c r="R415" s="47">
        <f t="shared" ca="1" si="279"/>
        <v>0</v>
      </c>
      <c r="S415" s="47">
        <f t="shared" ca="1" si="279"/>
        <v>0</v>
      </c>
      <c r="T415" s="47">
        <f t="shared" ca="1" si="276"/>
        <v>0</v>
      </c>
      <c r="U415" s="47">
        <f t="shared" ca="1" si="277"/>
        <v>0</v>
      </c>
    </row>
    <row r="416" spans="1:21" ht="19.5" hidden="1" x14ac:dyDescent="0.3">
      <c r="A416" s="129"/>
      <c r="B416" s="160"/>
      <c r="C416" s="160"/>
      <c r="D416" s="739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588">
        <f t="shared" ref="L416:N416" ca="1" si="280">L417+L418</f>
        <v>0</v>
      </c>
      <c r="M416" s="47">
        <f t="shared" ca="1" si="280"/>
        <v>31340</v>
      </c>
      <c r="N416" s="47">
        <f t="shared" ca="1" si="280"/>
        <v>31340</v>
      </c>
      <c r="O416" s="47">
        <f t="shared" ca="1" si="273"/>
        <v>0</v>
      </c>
      <c r="P416" s="47">
        <f t="shared" ca="1" si="274"/>
        <v>100</v>
      </c>
      <c r="Q416" s="47">
        <f t="shared" ref="Q416:S416" ca="1" si="281">Q417+Q418</f>
        <v>0</v>
      </c>
      <c r="R416" s="47">
        <f t="shared" ca="1" si="281"/>
        <v>0</v>
      </c>
      <c r="S416" s="47">
        <f t="shared" ca="1" si="281"/>
        <v>0</v>
      </c>
      <c r="T416" s="47">
        <f t="shared" ca="1" si="276"/>
        <v>0</v>
      </c>
      <c r="U416" s="47">
        <f t="shared" ca="1" si="277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IFERROR(__xludf.DUMMYFUNCTION("IMPORTRANGE(""https://docs.google.com/spreadsheets/d/1-uDff_7J0KD5mKrp0Vvzr7lt3OU09vwQwhkpOPPYv2Y/edit?usp=sharing"",""งบพรบ!IT83"")"),31340)</f>
        <v>31340</v>
      </c>
      <c r="N418" s="47">
        <f ca="1">IFERROR(__xludf.DUMMYFUNCTION("IMPORTRANGE(""https://docs.google.com/spreadsheets/d/1-uDff_7J0KD5mKrp0Vvzr7lt3OU09vwQwhkpOPPYv2Y/edit?usp=sharing"",""งบพรบ!IV83"")"),31340)</f>
        <v>31340</v>
      </c>
      <c r="O418" s="47">
        <f t="shared" ca="1" si="273"/>
        <v>0</v>
      </c>
      <c r="P418" s="47">
        <f t="shared" ca="1" si="274"/>
        <v>100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t="shared" ca="1" si="276"/>
        <v>0</v>
      </c>
      <c r="U418" s="47">
        <f t="shared" ca="1" si="277"/>
        <v>0</v>
      </c>
    </row>
    <row r="419" spans="1:21" ht="19.5" hidden="1" x14ac:dyDescent="0.3">
      <c r="A419" s="129"/>
      <c r="B419" s="160"/>
      <c r="C419" s="160"/>
      <c r="D419" s="739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hidden="1" x14ac:dyDescent="0.3">
      <c r="A422" s="225"/>
      <c r="B422" s="160"/>
      <c r="C422" s="361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4">I440</f>
        <v>0</v>
      </c>
      <c r="J423" s="749">
        <f t="shared" si="284"/>
        <v>0</v>
      </c>
      <c r="K423" s="489">
        <f t="shared" ref="K423:K425" ca="1" si="285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IFERROR(__xludf.DUMMYFUNCTION("IMPORTRANGE(""https://docs.google.com/spreadsheets/d/1eHaY18a8A9IcSdp1K8H6x8fbOy06t2VsZHhMHf-1x7Y/edit?usp=sharing"",""แผน!HJ83"")"),0)</f>
        <v>0</v>
      </c>
      <c r="J424" s="751">
        <f t="shared" ref="J424:J425" si="286">J426+J428+J430</f>
        <v>0</v>
      </c>
      <c r="K424" s="133">
        <f t="shared" ca="1" si="285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IFERROR(__xludf.DUMMYFUNCTION("IMPORTRANGE(""https://docs.google.com/spreadsheets/d/1eHaY18a8A9IcSdp1K8H6x8fbOy06t2VsZHhMHf-1x7Y/edit?usp=sharing"",""แผน!HK83"")"),0)</f>
        <v>0</v>
      </c>
      <c r="J425" s="751">
        <f t="shared" si="286"/>
        <v>0</v>
      </c>
      <c r="K425" s="133">
        <f t="shared" ca="1" si="285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IFERROR(__xludf.DUMMYFUNCTION("IMPORTRANGE(""https://docs.google.com/spreadsheets/d/1eHaY18a8A9IcSdp1K8H6x8fbOy06t2VsZHhMHf-1x7Y/edit?usp=sharing"",""แผน!HJ83"")"),0)</f>
        <v>0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IFERROR(__xludf.DUMMYFUNCTION("IMPORTRANGE(""https://docs.google.com/spreadsheets/d/1eHaY18a8A9IcSdp1K8H6x8fbOy06t2VsZHhMHf-1x7Y/edit?usp=sharing"",""แผน!HK83"")"),0)</f>
        <v>0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IFERROR(__xludf.DUMMYFUNCTION("IMPORTRANGE(""https://docs.google.com/spreadsheets/d/1eHaY18a8A9IcSdp1K8H6x8fbOy06t2VsZHhMHf-1x7Y/edit?usp=sharing"",""แผน!HJ83"")"),0)</f>
        <v>0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IFERROR(__xludf.DUMMYFUNCTION("IMPORTRANGE(""https://docs.google.com/spreadsheets/d/1eHaY18a8A9IcSdp1K8H6x8fbOy06t2VsZHhMHf-1x7Y/edit?usp=sharing"",""แผน!HK83"")"),0)</f>
        <v>0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0</v>
      </c>
      <c r="J456" s="754">
        <f t="shared" si="292"/>
        <v>0</v>
      </c>
      <c r="K456" s="489">
        <f t="shared" ref="K456:K458" ca="1" si="293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hidden="1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IFERROR(__xludf.DUMMYFUNCTION("IMPORTRANGE(""https://docs.google.com/spreadsheets/d/1eHaY18a8A9IcSdp1K8H6x8fbOy06t2VsZHhMHf-1x7Y/edit?usp=sharing"",""แผน!HL83"")"),0)</f>
        <v>0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IFERROR(__xludf.DUMMYFUNCTION("IMPORTRANGE(""https://docs.google.com/spreadsheets/d/1eHaY18a8A9IcSdp1K8H6x8fbOy06t2VsZHhMHf-1x7Y/edit?usp=sharing"",""แผน!HM83"")"),0)</f>
        <v>0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299">J480</f>
        <v>0</v>
      </c>
      <c r="J484" s="763">
        <f t="shared" ref="J484:J485" si="300">J486+J488+J490</f>
        <v>0</v>
      </c>
      <c r="K484" s="764">
        <f t="shared" ref="K484:K485" si="301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299"/>
        <v>0</v>
      </c>
      <c r="J485" s="763">
        <f t="shared" si="300"/>
        <v>0</v>
      </c>
      <c r="K485" s="764">
        <f t="shared" si="301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0</v>
      </c>
      <c r="J492" s="321">
        <f t="shared" ca="1" si="302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3">L494+L495</f>
        <v>0</v>
      </c>
      <c r="M493" s="133">
        <f t="shared" ca="1" si="303"/>
        <v>0</v>
      </c>
      <c r="N493" s="133">
        <f t="shared" ca="1" si="303"/>
        <v>0</v>
      </c>
      <c r="O493" s="133">
        <f t="shared" ref="O493:O501" ca="1" si="304">IF(L493&gt;0,N493*100/L493,0)</f>
        <v>0</v>
      </c>
      <c r="P493" s="133">
        <f t="shared" ref="P493:P501" ca="1" si="305">IF(M493&gt;0,N493*100/M493,0)</f>
        <v>0</v>
      </c>
      <c r="Q493" s="133">
        <f t="shared" ref="Q493:S493" ca="1" si="306">Q494+Q495</f>
        <v>0</v>
      </c>
      <c r="R493" s="133">
        <f t="shared" ca="1" si="306"/>
        <v>0</v>
      </c>
      <c r="S493" s="133">
        <f t="shared" ca="1" si="306"/>
        <v>0</v>
      </c>
      <c r="T493" s="133">
        <f t="shared" ref="T493:T501" ca="1" si="307">IF(Q493&gt;0,S493*100/Q493,0)</f>
        <v>0</v>
      </c>
      <c r="U493" s="133">
        <f t="shared" ref="U493:U501" ca="1" si="308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49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0</v>
      </c>
      <c r="M495" s="47">
        <f t="shared" ca="1" si="309"/>
        <v>0</v>
      </c>
      <c r="N495" s="47">
        <f t="shared" ca="1" si="309"/>
        <v>0</v>
      </c>
      <c r="O495" s="47">
        <f t="shared" ca="1" si="304"/>
        <v>0</v>
      </c>
      <c r="P495" s="47">
        <f t="shared" ca="1" si="305"/>
        <v>0</v>
      </c>
      <c r="Q495" s="47">
        <f t="shared" ca="1" si="310"/>
        <v>0</v>
      </c>
      <c r="R495" s="47">
        <f t="shared" ca="1" si="310"/>
        <v>0</v>
      </c>
      <c r="S495" s="47">
        <f t="shared" ca="1" si="310"/>
        <v>0</v>
      </c>
      <c r="T495" s="47">
        <f t="shared" ca="1" si="307"/>
        <v>0</v>
      </c>
      <c r="U495" s="47">
        <f t="shared" ca="1" si="308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0</v>
      </c>
      <c r="M496" s="47">
        <f t="shared" ca="1" si="311"/>
        <v>0</v>
      </c>
      <c r="N496" s="47">
        <f t="shared" ca="1" si="311"/>
        <v>0</v>
      </c>
      <c r="O496" s="47">
        <f t="shared" ca="1" si="304"/>
        <v>0</v>
      </c>
      <c r="P496" s="47">
        <f t="shared" ca="1" si="305"/>
        <v>0</v>
      </c>
      <c r="Q496" s="47">
        <f t="shared" ref="Q496:S496" ca="1" si="312">Q497+Q498</f>
        <v>0</v>
      </c>
      <c r="R496" s="47">
        <f t="shared" ca="1" si="312"/>
        <v>0</v>
      </c>
      <c r="S496" s="47">
        <f t="shared" ca="1" si="312"/>
        <v>0</v>
      </c>
      <c r="T496" s="47">
        <f t="shared" ca="1" si="307"/>
        <v>0</v>
      </c>
      <c r="U496" s="47">
        <f t="shared" ca="1" si="308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49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t="shared" ca="1" si="304"/>
        <v>0</v>
      </c>
      <c r="P498" s="47">
        <f t="shared" ca="1" si="305"/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t="shared" ca="1" si="307"/>
        <v>0</v>
      </c>
      <c r="U498" s="47">
        <f t="shared" ca="1" si="308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47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49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t="shared" ca="1" si="304"/>
        <v>0</v>
      </c>
      <c r="P501" s="47">
        <f t="shared" ca="1" si="305"/>
        <v>0</v>
      </c>
      <c r="Q501" s="47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IFERROR(__xludf.DUMMYFUNCTION("IMPORTRANGE(""https://docs.google.com/spreadsheets/d/1eHaY18a8A9IcSdp1K8H6x8fbOy06t2VsZHhMHf-1x7Y/edit?usp=sharing"",""แผน!GX83"")"),0)</f>
        <v>0</v>
      </c>
      <c r="J503" s="371">
        <f ca="1">IF(AND(J504=I504,J505=I505,J506=I506,J507=I507),I503,0)</f>
        <v>0</v>
      </c>
      <c r="K503" s="133">
        <f t="shared" ref="K503:K509" ca="1" si="315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IFERROR(__xludf.DUMMYFUNCTION("IMPORTRANGE(""https://docs.google.com/spreadsheets/d/1eHaY18a8A9IcSdp1K8H6x8fbOy06t2VsZHhMHf-1x7Y/edit?usp=sharing"",""แผน!GY83"")"),0)</f>
        <v>0</v>
      </c>
      <c r="J504" s="169">
        <v>0</v>
      </c>
      <c r="K504" s="47">
        <f t="shared" ca="1" si="315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IFERROR(__xludf.DUMMYFUNCTION("IMPORTRANGE(""https://docs.google.com/spreadsheets/d/1eHaY18a8A9IcSdp1K8H6x8fbOy06t2VsZHhMHf-1x7Y/edit?usp=sharing"",""แผน!GZ83"")"),0)</f>
        <v>0</v>
      </c>
      <c r="J505" s="169">
        <v>0</v>
      </c>
      <c r="K505" s="47">
        <f t="shared" ca="1" si="315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IFERROR(__xludf.DUMMYFUNCTION("IMPORTRANGE(""https://docs.google.com/spreadsheets/d/1eHaY18a8A9IcSdp1K8H6x8fbOy06t2VsZHhMHf-1x7Y/edit?usp=sharing"",""แผน!HA83"")"),0)</f>
        <v>0</v>
      </c>
      <c r="J506" s="169">
        <v>0</v>
      </c>
      <c r="K506" s="47">
        <f t="shared" ca="1" si="315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IFERROR(__xludf.DUMMYFUNCTION("IMPORTRANGE(""https://docs.google.com/spreadsheets/d/1eHaY18a8A9IcSdp1K8H6x8fbOy06t2VsZHhMHf-1x7Y/edit?usp=sharing"",""แผน!HB83"")"),0)</f>
        <v>0</v>
      </c>
      <c r="J507" s="169">
        <v>0</v>
      </c>
      <c r="K507" s="47">
        <f t="shared" ca="1" si="315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IFERROR(__xludf.DUMMYFUNCTION("IMPORTRANGE(""https://docs.google.com/spreadsheets/d/1eHaY18a8A9IcSdp1K8H6x8fbOy06t2VsZHhMHf-1x7Y/edit?usp=sharing"",""แผน!HC83"")"),0)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6">I524</f>
        <v>0</v>
      </c>
      <c r="J512" s="855">
        <f t="shared" si="316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7">L514+L515</f>
        <v>0</v>
      </c>
      <c r="M513" s="133">
        <f t="shared" ca="1" si="317"/>
        <v>0</v>
      </c>
      <c r="N513" s="133">
        <f t="shared" ca="1" si="317"/>
        <v>0</v>
      </c>
      <c r="O513" s="133">
        <f t="shared" ref="O513:O521" ca="1" si="318">IF(L513&gt;0,N513*100/L513,0)</f>
        <v>0</v>
      </c>
      <c r="P513" s="133">
        <f t="shared" ref="P513:P521" ca="1" si="319">IF(M513&gt;0,N513*100/M513,0)</f>
        <v>0</v>
      </c>
      <c r="Q513" s="133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49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3"/>
        <v>0</v>
      </c>
      <c r="M515" s="47">
        <f t="shared" ca="1" si="323"/>
        <v>0</v>
      </c>
      <c r="N515" s="47">
        <f t="shared" ca="1" si="323"/>
        <v>0</v>
      </c>
      <c r="O515" s="47">
        <f t="shared" ca="1" si="318"/>
        <v>0</v>
      </c>
      <c r="P515" s="47">
        <f t="shared" ca="1" si="319"/>
        <v>0</v>
      </c>
      <c r="Q515" s="47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47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49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t="shared" ca="1" si="318"/>
        <v>0</v>
      </c>
      <c r="P518" s="47">
        <f t="shared" ca="1" si="319"/>
        <v>0</v>
      </c>
      <c r="Q518" s="47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7">L520+L521</f>
        <v>0</v>
      </c>
      <c r="M519" s="47">
        <f t="shared" ca="1" si="327"/>
        <v>0</v>
      </c>
      <c r="N519" s="47">
        <f t="shared" ca="1" si="327"/>
        <v>0</v>
      </c>
      <c r="O519" s="47">
        <f t="shared" ca="1" si="318"/>
        <v>0</v>
      </c>
      <c r="P519" s="47">
        <f t="shared" ca="1" si="319"/>
        <v>0</v>
      </c>
      <c r="Q519" s="47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49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t="shared" ca="1" si="318"/>
        <v>0</v>
      </c>
      <c r="P521" s="47">
        <f t="shared" ca="1" si="319"/>
        <v>0</v>
      </c>
      <c r="Q521" s="47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9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9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0">I545</f>
        <v>0</v>
      </c>
      <c r="J533" s="818">
        <f t="shared" si="330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133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49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47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47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49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t="shared" ca="1" si="332"/>
        <v>0</v>
      </c>
      <c r="P539" s="47">
        <f t="shared" ca="1" si="333"/>
        <v>0</v>
      </c>
      <c r="Q539" s="47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47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49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t="shared" ca="1" si="332"/>
        <v>0</v>
      </c>
      <c r="P542" s="47">
        <f t="shared" ca="1" si="333"/>
        <v>0</v>
      </c>
      <c r="Q542" s="47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133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49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47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47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49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t="shared" ca="1" si="345"/>
        <v>0</v>
      </c>
      <c r="P560" s="47">
        <f t="shared" ca="1" si="346"/>
        <v>0</v>
      </c>
      <c r="Q560" s="47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47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49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t="shared" ca="1" si="345"/>
        <v>0</v>
      </c>
      <c r="P563" s="47">
        <f t="shared" ca="1" si="346"/>
        <v>0</v>
      </c>
      <c r="Q563" s="47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6">I587</f>
        <v>0</v>
      </c>
      <c r="J575" s="818">
        <f t="shared" si="356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0</v>
      </c>
      <c r="M576" s="133">
        <f t="shared" ca="1" si="357"/>
        <v>0</v>
      </c>
      <c r="N576" s="133">
        <f t="shared" ca="1" si="357"/>
        <v>0</v>
      </c>
      <c r="O576" s="133">
        <f t="shared" ref="O576:O584" ca="1" si="358">IF(L576&gt;0,N576*100/L576,0)</f>
        <v>0</v>
      </c>
      <c r="P576" s="133">
        <f t="shared" ref="P576:P584" ca="1" si="359">IF(M576&gt;0,N576*100/M576,0)</f>
        <v>0</v>
      </c>
      <c r="Q576" s="133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49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0</v>
      </c>
      <c r="M578" s="47">
        <f t="shared" ca="1" si="363"/>
        <v>0</v>
      </c>
      <c r="N578" s="47">
        <f t="shared" ca="1" si="363"/>
        <v>0</v>
      </c>
      <c r="O578" s="47">
        <f t="shared" ca="1" si="358"/>
        <v>0</v>
      </c>
      <c r="P578" s="47">
        <f t="shared" ca="1" si="359"/>
        <v>0</v>
      </c>
      <c r="Q578" s="47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0</v>
      </c>
      <c r="M579" s="47">
        <f t="shared" ca="1" si="365"/>
        <v>0</v>
      </c>
      <c r="N579" s="47">
        <f t="shared" ca="1" si="365"/>
        <v>0</v>
      </c>
      <c r="O579" s="47">
        <f t="shared" ca="1" si="358"/>
        <v>0</v>
      </c>
      <c r="P579" s="47">
        <f t="shared" ca="1" si="359"/>
        <v>0</v>
      </c>
      <c r="Q579" s="47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49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t="shared" ca="1" si="358"/>
        <v>0</v>
      </c>
      <c r="P581" s="47">
        <f t="shared" ca="1" si="359"/>
        <v>0</v>
      </c>
      <c r="Q581" s="47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47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49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t="shared" ca="1" si="358"/>
        <v>0</v>
      </c>
      <c r="P584" s="47">
        <f t="shared" ca="1" si="359"/>
        <v>0</v>
      </c>
      <c r="Q584" s="47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09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69">L600+L601</f>
        <v>14072</v>
      </c>
      <c r="M599" s="441">
        <f t="shared" ca="1" si="369"/>
        <v>14072</v>
      </c>
      <c r="N599" s="441">
        <f t="shared" ca="1" si="369"/>
        <v>5684</v>
      </c>
      <c r="O599" s="441">
        <f t="shared" ref="O599:O607" ca="1" si="370">IF(L599&gt;0,N599*100/L599,0)</f>
        <v>40.392268334280843</v>
      </c>
      <c r="P599" s="441">
        <f t="shared" ref="P599:P607" ca="1" si="371">IF(M599&gt;0,N599*100/M599,0)</f>
        <v>40.392268334280843</v>
      </c>
      <c r="Q599" s="441">
        <f t="shared" ref="Q599:S599" ca="1" si="372">Q600+Q601</f>
        <v>0</v>
      </c>
      <c r="R599" s="441">
        <f t="shared" ca="1" si="372"/>
        <v>0</v>
      </c>
      <c r="S599" s="441">
        <f t="shared" ca="1" si="372"/>
        <v>0</v>
      </c>
      <c r="T599" s="441">
        <f t="shared" ref="T599:T607" ca="1" si="373">IF(Q599&gt;0,S599*100/Q599,0)</f>
        <v>0</v>
      </c>
      <c r="U599" s="441">
        <f t="shared" ref="U599:U607" ca="1" si="374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5">L603+L606</f>
        <v>0</v>
      </c>
      <c r="M600" s="352">
        <f t="shared" si="375"/>
        <v>0</v>
      </c>
      <c r="N600" s="352">
        <f t="shared" si="375"/>
        <v>0</v>
      </c>
      <c r="O600" s="352">
        <f t="shared" si="370"/>
        <v>0</v>
      </c>
      <c r="P600" s="352">
        <f t="shared" si="371"/>
        <v>0</v>
      </c>
      <c r="Q600" s="352">
        <f t="shared" ref="Q600:S601" si="376">Q603+Q606</f>
        <v>0</v>
      </c>
      <c r="R600" s="352">
        <f t="shared" si="376"/>
        <v>0</v>
      </c>
      <c r="S600" s="352">
        <f t="shared" si="376"/>
        <v>0</v>
      </c>
      <c r="T600" s="352">
        <f t="shared" si="373"/>
        <v>0</v>
      </c>
      <c r="U600" s="352">
        <f t="shared" si="374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5"/>
        <v>14072</v>
      </c>
      <c r="M601" s="352">
        <f t="shared" ca="1" si="375"/>
        <v>14072</v>
      </c>
      <c r="N601" s="352">
        <f t="shared" ca="1" si="375"/>
        <v>5684</v>
      </c>
      <c r="O601" s="352">
        <f t="shared" ca="1" si="370"/>
        <v>40.392268334280843</v>
      </c>
      <c r="P601" s="352">
        <f t="shared" ca="1" si="371"/>
        <v>40.392268334280843</v>
      </c>
      <c r="Q601" s="352">
        <f t="shared" ca="1" si="376"/>
        <v>0</v>
      </c>
      <c r="R601" s="352">
        <f t="shared" ca="1" si="376"/>
        <v>0</v>
      </c>
      <c r="S601" s="352">
        <f t="shared" ca="1" si="376"/>
        <v>0</v>
      </c>
      <c r="T601" s="352">
        <f t="shared" ca="1" si="373"/>
        <v>0</v>
      </c>
      <c r="U601" s="352">
        <f t="shared" ca="1" si="374"/>
        <v>0</v>
      </c>
    </row>
    <row r="602" spans="1:21" ht="18.75" x14ac:dyDescent="0.25">
      <c r="A602" s="436"/>
      <c r="B602" s="347"/>
      <c r="C602" s="347"/>
      <c r="D602" s="693" t="s">
        <v>22</v>
      </c>
      <c r="E602" s="444"/>
      <c r="F602" s="444"/>
      <c r="G602" s="445"/>
      <c r="H602" s="446" t="s">
        <v>14</v>
      </c>
      <c r="I602" s="448"/>
      <c r="J602" s="448"/>
      <c r="K602" s="449"/>
      <c r="L602" s="692">
        <f t="shared" ref="L602:N602" ca="1" si="377">L603+L604</f>
        <v>14072</v>
      </c>
      <c r="M602" s="352">
        <f t="shared" ca="1" si="377"/>
        <v>14072</v>
      </c>
      <c r="N602" s="352">
        <f t="shared" ca="1" si="377"/>
        <v>5684</v>
      </c>
      <c r="O602" s="352">
        <f t="shared" ca="1" si="370"/>
        <v>40.392268334280843</v>
      </c>
      <c r="P602" s="352">
        <f t="shared" ca="1" si="371"/>
        <v>40.392268334280843</v>
      </c>
      <c r="Q602" s="352">
        <f t="shared" ref="Q602:S602" ca="1" si="378">Q603+Q604</f>
        <v>0</v>
      </c>
      <c r="R602" s="352">
        <f t="shared" ca="1" si="378"/>
        <v>0</v>
      </c>
      <c r="S602" s="352">
        <f t="shared" ca="1" si="378"/>
        <v>0</v>
      </c>
      <c r="T602" s="352">
        <f t="shared" ca="1" si="373"/>
        <v>0</v>
      </c>
      <c r="U602" s="352">
        <f t="shared" ca="1" si="374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70"/>
        <v>0</v>
      </c>
      <c r="P603" s="352">
        <f t="shared" si="371"/>
        <v>0</v>
      </c>
      <c r="Q603" s="352">
        <v>0</v>
      </c>
      <c r="R603" s="352">
        <v>0</v>
      </c>
      <c r="S603" s="352">
        <v>0</v>
      </c>
      <c r="T603" s="352">
        <f t="shared" si="373"/>
        <v>0</v>
      </c>
      <c r="U603" s="352">
        <f t="shared" si="374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IFERROR(__xludf.DUMMYFUNCTION("IMPORTRANGE(""https://docs.google.com/spreadsheets/d/1-uDff_7J0KD5mKrp0Vvzr7lt3OU09vwQwhkpOPPYv2Y/edit?usp=sharing"",""งบพรบ!HK83"")"),14072)</f>
        <v>14072</v>
      </c>
      <c r="M604" s="352">
        <f ca="1">IFERROR(__xludf.DUMMYFUNCTION("IMPORTRANGE(""https://docs.google.com/spreadsheets/d/1-uDff_7J0KD5mKrp0Vvzr7lt3OU09vwQwhkpOPPYv2Y/edit?usp=sharing"",""งบพรบ!HP83"")"),14072)</f>
        <v>14072</v>
      </c>
      <c r="N604" s="352">
        <f ca="1">IFERROR(__xludf.DUMMYFUNCTION("IMPORTRANGE(""https://docs.google.com/spreadsheets/d/1-uDff_7J0KD5mKrp0Vvzr7lt3OU09vwQwhkpOPPYv2Y/edit?usp=sharing"",""งบพรบ!HR83"")"),5684)</f>
        <v>5684</v>
      </c>
      <c r="O604" s="352">
        <f t="shared" ca="1" si="370"/>
        <v>40.392268334280843</v>
      </c>
      <c r="P604" s="352">
        <f t="shared" ca="1" si="371"/>
        <v>40.392268334280843</v>
      </c>
      <c r="Q604" s="352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352">
        <f t="shared" ca="1" si="373"/>
        <v>0</v>
      </c>
      <c r="U604" s="352">
        <f t="shared" ca="1" si="374"/>
        <v>0</v>
      </c>
    </row>
    <row r="605" spans="1:21" ht="18.75" x14ac:dyDescent="0.25">
      <c r="A605" s="436"/>
      <c r="B605" s="347"/>
      <c r="C605" s="347"/>
      <c r="D605" s="693" t="s">
        <v>23</v>
      </c>
      <c r="E605" s="347"/>
      <c r="F605" s="444"/>
      <c r="G605" s="445"/>
      <c r="H605" s="451" t="s">
        <v>14</v>
      </c>
      <c r="I605" s="448"/>
      <c r="J605" s="448"/>
      <c r="K605" s="449"/>
      <c r="L605" s="692">
        <f t="shared" ref="L605:N605" ca="1" si="379">L606+L607</f>
        <v>0</v>
      </c>
      <c r="M605" s="352">
        <f t="shared" ca="1" si="379"/>
        <v>0</v>
      </c>
      <c r="N605" s="352">
        <f t="shared" ca="1" si="379"/>
        <v>0</v>
      </c>
      <c r="O605" s="352">
        <f t="shared" ca="1" si="370"/>
        <v>0</v>
      </c>
      <c r="P605" s="352">
        <f t="shared" ca="1" si="371"/>
        <v>0</v>
      </c>
      <c r="Q605" s="352">
        <f t="shared" ref="Q605:S605" ca="1" si="380">Q606+Q607</f>
        <v>0</v>
      </c>
      <c r="R605" s="352">
        <f t="shared" ca="1" si="380"/>
        <v>0</v>
      </c>
      <c r="S605" s="352">
        <f t="shared" ca="1" si="380"/>
        <v>0</v>
      </c>
      <c r="T605" s="352">
        <f t="shared" ca="1" si="373"/>
        <v>0</v>
      </c>
      <c r="U605" s="352">
        <f t="shared" ca="1" si="374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692">
        <v>0</v>
      </c>
      <c r="M606" s="352">
        <v>0</v>
      </c>
      <c r="N606" s="352">
        <v>0</v>
      </c>
      <c r="O606" s="352">
        <f t="shared" si="370"/>
        <v>0</v>
      </c>
      <c r="P606" s="352">
        <f t="shared" si="371"/>
        <v>0</v>
      </c>
      <c r="Q606" s="352">
        <v>0</v>
      </c>
      <c r="R606" s="352">
        <v>0</v>
      </c>
      <c r="S606" s="352">
        <v>0</v>
      </c>
      <c r="T606" s="352">
        <f t="shared" si="373"/>
        <v>0</v>
      </c>
      <c r="U606" s="352">
        <f t="shared" si="374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692">
        <f ca="1">IFERROR(__xludf.DUMMYFUNCTION("IMPORTRANGE(""https://docs.google.com/spreadsheets/d/1-uDff_7J0KD5mKrp0Vvzr7lt3OU09vwQwhkpOPPYv2Y/edit?usp=sharing"",""งบพรบ!HN83"")"),0)</f>
        <v>0</v>
      </c>
      <c r="M607" s="352">
        <f ca="1">IFERROR(__xludf.DUMMYFUNCTION("IMPORTRANGE(""https://docs.google.com/spreadsheets/d/1-uDff_7J0KD5mKrp0Vvzr7lt3OU09vwQwhkpOPPYv2Y/edit?usp=sharing"",""งบพรบ!HQ83"")"),0)</f>
        <v>0</v>
      </c>
      <c r="N607" s="352">
        <f ca="1">IFERROR(__xludf.DUMMYFUNCTION("IMPORTRANGE(""https://docs.google.com/spreadsheets/d/1-uDff_7J0KD5mKrp0Vvzr7lt3OU09vwQwhkpOPPYv2Y/edit?usp=sharing"",""งบพรบ!HS83"")"),0)</f>
        <v>0</v>
      </c>
      <c r="O607" s="352">
        <f t="shared" ca="1" si="370"/>
        <v>0</v>
      </c>
      <c r="P607" s="352">
        <f t="shared" ca="1" si="371"/>
        <v>0</v>
      </c>
      <c r="Q607" s="352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352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352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352">
        <f t="shared" ca="1" si="373"/>
        <v>0</v>
      </c>
      <c r="U607" s="352">
        <f t="shared" ca="1" si="374"/>
        <v>0</v>
      </c>
    </row>
    <row r="608" spans="1:21" ht="19.5" hidden="1" x14ac:dyDescent="0.3">
      <c r="A608" s="452"/>
      <c r="B608" s="453"/>
      <c r="C608" s="437" t="s">
        <v>18</v>
      </c>
      <c r="D608" s="694" t="s">
        <v>38</v>
      </c>
      <c r="E608" s="455"/>
      <c r="F608" s="455"/>
      <c r="G608" s="456"/>
      <c r="H608" s="457"/>
      <c r="I608" s="448"/>
      <c r="J608" s="448"/>
      <c r="K608" s="449"/>
      <c r="L608" s="742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hidden="1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742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hidden="1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742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hidden="1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742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9.5" hidden="1" thickBot="1" x14ac:dyDescent="0.3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896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133">
        <f t="shared" ref="Q616:S616" ca="1" si="385">Q617+Q618</f>
        <v>1675</v>
      </c>
      <c r="R616" s="133">
        <f t="shared" ca="1" si="385"/>
        <v>1675</v>
      </c>
      <c r="S616" s="133">
        <f t="shared" ca="1" si="385"/>
        <v>2750</v>
      </c>
      <c r="T616" s="133">
        <f t="shared" ref="T616:T624" ca="1" si="386">IF(Q616&gt;0,S616*100/Q616,0)</f>
        <v>164.17910447761193</v>
      </c>
      <c r="U616" s="133">
        <f t="shared" ref="U616:U624" ca="1" si="387">IF(R616&gt;0,S616*100/R616,0)</f>
        <v>164.17910447761193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49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47">
        <f t="shared" ca="1" si="389"/>
        <v>1675</v>
      </c>
      <c r="R618" s="47">
        <f t="shared" ca="1" si="389"/>
        <v>1675</v>
      </c>
      <c r="S618" s="47">
        <f t="shared" ca="1" si="389"/>
        <v>2750</v>
      </c>
      <c r="T618" s="47">
        <f t="shared" ca="1" si="386"/>
        <v>164.17910447761193</v>
      </c>
      <c r="U618" s="47">
        <f t="shared" ca="1" si="387"/>
        <v>164.17910447761193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47">
        <f t="shared" ref="Q619:S619" ca="1" si="391">Q620+Q621</f>
        <v>1675</v>
      </c>
      <c r="R619" s="47">
        <f t="shared" ca="1" si="391"/>
        <v>1675</v>
      </c>
      <c r="S619" s="47">
        <f t="shared" ca="1" si="391"/>
        <v>2750</v>
      </c>
      <c r="T619" s="47">
        <f t="shared" ca="1" si="386"/>
        <v>164.17910447761193</v>
      </c>
      <c r="U619" s="47">
        <f t="shared" ca="1" si="387"/>
        <v>164.17910447761193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49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IFERROR(__xludf.DUMMYFUNCTION("IMPORTRANGE(""https://docs.google.com/spreadsheets/d/1ItG2mGa2ceCfYo0BwxsXqNm01IGEUdYcSSLTEv9YCik/edit?usp=sharing"",""เบิกจ่ายกองทุน!H83"")"),2750)</f>
        <v>2750</v>
      </c>
      <c r="T621" s="47">
        <f t="shared" ca="1" si="386"/>
        <v>164.17910447761193</v>
      </c>
      <c r="U621" s="47">
        <f t="shared" ca="1" si="387"/>
        <v>164.17910447761193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47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49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47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IFERROR(__xludf.DUMMYFUNCTION("IMPORTRANGE(""https://docs.google.com/spreadsheets/d/1eHaY18a8A9IcSdp1K8H6x8fbOy06t2VsZHhMHf-1x7Y/edit?usp=sharing"",""แผน!ID83"")"),0)</f>
        <v>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IFERROR(__xludf.DUMMYFUNCTION("IMPORTRANGE(""https://docs.google.com/spreadsheets/d/1eHaY18a8A9IcSdp1K8H6x8fbOy06t2VsZHhMHf-1x7Y/edit?usp=sharing"",""แผน!IC83"")"),1)</f>
        <v>1</v>
      </c>
      <c r="J627" s="169">
        <v>1</v>
      </c>
      <c r="K627" s="47">
        <f t="shared" ref="K627:K628" ca="1" si="394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IFERROR(__xludf.DUMMYFUNCTION("IMPORTRANGE(""https://docs.google.com/spreadsheets/d/1eHaY18a8A9IcSdp1K8H6x8fbOy06t2VsZHhMHf-1x7Y/edit?usp=sharing"",""แผน!IC83"")"),1)</f>
        <v>1</v>
      </c>
      <c r="J628" s="169">
        <v>1</v>
      </c>
      <c r="K628" s="47">
        <f t="shared" ca="1" si="394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5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5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5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IFERROR(__xludf.DUMMYFUNCTION("IMPORTRANGE(""https://docs.google.com/spreadsheets/d/1eHaY18a8A9IcSdp1K8H6x8fbOy06t2VsZHhMHf-1x7Y/edit?usp=sharing"",""แผน!IE83"")"),0)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6">L643+L644</f>
        <v>0</v>
      </c>
      <c r="M642" s="133">
        <f t="shared" si="396"/>
        <v>0</v>
      </c>
      <c r="N642" s="133">
        <f t="shared" si="396"/>
        <v>0</v>
      </c>
      <c r="O642" s="133">
        <f t="shared" ref="O642:O650" si="397">IF(L642&gt;0,N642*100/L642,0)</f>
        <v>0</v>
      </c>
      <c r="P642" s="133">
        <f t="shared" ref="P642:P650" si="398">IF(M642&gt;0,N642*100/M642,0)</f>
        <v>0</v>
      </c>
      <c r="Q642" s="133">
        <f t="shared" ref="Q642:S642" ca="1" si="399">Q643+Q644</f>
        <v>0</v>
      </c>
      <c r="R642" s="133">
        <f t="shared" ca="1" si="399"/>
        <v>0</v>
      </c>
      <c r="S642" s="133">
        <f t="shared" ca="1" si="399"/>
        <v>0</v>
      </c>
      <c r="T642" s="133">
        <f t="shared" ref="T642:T650" ca="1" si="400">IF(Q642&gt;0,S642*100/Q642,0)</f>
        <v>0</v>
      </c>
      <c r="U642" s="133">
        <f t="shared" ref="U642:U650" ca="1" si="401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2">L646+L649</f>
        <v>0</v>
      </c>
      <c r="M643" s="49">
        <f t="shared" si="402"/>
        <v>0</v>
      </c>
      <c r="N643" s="49">
        <f t="shared" si="402"/>
        <v>0</v>
      </c>
      <c r="O643" s="49">
        <f t="shared" si="397"/>
        <v>0</v>
      </c>
      <c r="P643" s="49">
        <f t="shared" si="398"/>
        <v>0</v>
      </c>
      <c r="Q643" s="49">
        <f t="shared" ref="Q643:S644" si="403">Q646+Q649</f>
        <v>0</v>
      </c>
      <c r="R643" s="49">
        <f t="shared" si="403"/>
        <v>0</v>
      </c>
      <c r="S643" s="49">
        <f t="shared" si="403"/>
        <v>0</v>
      </c>
      <c r="T643" s="49">
        <f t="shared" si="400"/>
        <v>0</v>
      </c>
      <c r="U643" s="49">
        <f t="shared" si="401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2"/>
        <v>0</v>
      </c>
      <c r="M644" s="47">
        <f t="shared" si="402"/>
        <v>0</v>
      </c>
      <c r="N644" s="47">
        <f t="shared" si="402"/>
        <v>0</v>
      </c>
      <c r="O644" s="47">
        <f t="shared" si="397"/>
        <v>0</v>
      </c>
      <c r="P644" s="47">
        <f t="shared" si="398"/>
        <v>0</v>
      </c>
      <c r="Q644" s="47">
        <f t="shared" ca="1" si="403"/>
        <v>0</v>
      </c>
      <c r="R644" s="47">
        <f t="shared" ca="1" si="403"/>
        <v>0</v>
      </c>
      <c r="S644" s="47">
        <f t="shared" ca="1" si="403"/>
        <v>0</v>
      </c>
      <c r="T644" s="47">
        <f t="shared" ca="1" si="400"/>
        <v>0</v>
      </c>
      <c r="U644" s="47">
        <f t="shared" ca="1" si="401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4">L646+L647</f>
        <v>0</v>
      </c>
      <c r="M645" s="47">
        <f t="shared" si="404"/>
        <v>0</v>
      </c>
      <c r="N645" s="47">
        <f t="shared" si="404"/>
        <v>0</v>
      </c>
      <c r="O645" s="47">
        <f t="shared" si="397"/>
        <v>0</v>
      </c>
      <c r="P645" s="47">
        <f t="shared" si="398"/>
        <v>0</v>
      </c>
      <c r="Q645" s="47">
        <f t="shared" ref="Q645:S645" ca="1" si="405">Q646+Q647</f>
        <v>0</v>
      </c>
      <c r="R645" s="47">
        <f t="shared" ca="1" si="405"/>
        <v>0</v>
      </c>
      <c r="S645" s="47">
        <f t="shared" ca="1" si="405"/>
        <v>0</v>
      </c>
      <c r="T645" s="47">
        <f t="shared" ca="1" si="400"/>
        <v>0</v>
      </c>
      <c r="U645" s="47">
        <f t="shared" ca="1" si="401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7"/>
        <v>0</v>
      </c>
      <c r="P646" s="49">
        <f t="shared" si="398"/>
        <v>0</v>
      </c>
      <c r="Q646" s="49">
        <v>0</v>
      </c>
      <c r="R646" s="49">
        <v>0</v>
      </c>
      <c r="S646" s="49">
        <v>0</v>
      </c>
      <c r="T646" s="49">
        <f t="shared" si="400"/>
        <v>0</v>
      </c>
      <c r="U646" s="49">
        <f t="shared" si="401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7"/>
        <v>0</v>
      </c>
      <c r="P647" s="47">
        <f t="shared" si="398"/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t="shared" ca="1" si="400"/>
        <v>0</v>
      </c>
      <c r="U647" s="47">
        <f t="shared" ca="1" si="401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6">L649+L650</f>
        <v>0</v>
      </c>
      <c r="M648" s="47">
        <f t="shared" si="406"/>
        <v>0</v>
      </c>
      <c r="N648" s="47">
        <f t="shared" si="406"/>
        <v>0</v>
      </c>
      <c r="O648" s="47">
        <f t="shared" si="397"/>
        <v>0</v>
      </c>
      <c r="P648" s="47">
        <f t="shared" si="398"/>
        <v>0</v>
      </c>
      <c r="Q648" s="47">
        <f t="shared" ref="Q648:S648" si="407">Q649+Q650</f>
        <v>0</v>
      </c>
      <c r="R648" s="47">
        <f t="shared" si="407"/>
        <v>0</v>
      </c>
      <c r="S648" s="47">
        <f t="shared" si="407"/>
        <v>0</v>
      </c>
      <c r="T648" s="47">
        <f t="shared" si="400"/>
        <v>0</v>
      </c>
      <c r="U648" s="47">
        <f t="shared" si="401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7"/>
        <v>0</v>
      </c>
      <c r="P649" s="49">
        <f t="shared" si="398"/>
        <v>0</v>
      </c>
      <c r="Q649" s="49">
        <v>0</v>
      </c>
      <c r="R649" s="49">
        <v>0</v>
      </c>
      <c r="S649" s="49">
        <v>0</v>
      </c>
      <c r="T649" s="49">
        <f t="shared" si="400"/>
        <v>0</v>
      </c>
      <c r="U649" s="49">
        <f t="shared" si="401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7"/>
        <v>0</v>
      </c>
      <c r="P650" s="47">
        <f t="shared" si="398"/>
        <v>0</v>
      </c>
      <c r="Q650" s="47">
        <v>0</v>
      </c>
      <c r="R650" s="47">
        <v>0</v>
      </c>
      <c r="S650" s="47">
        <v>0</v>
      </c>
      <c r="T650" s="47">
        <f t="shared" si="400"/>
        <v>0</v>
      </c>
      <c r="U650" s="47">
        <f t="shared" si="401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IFERROR(__xludf.DUMMYFUNCTION("IMPORTRANGE(""https://docs.google.com/spreadsheets/d/1eHaY18a8A9IcSdp1K8H6x8fbOy06t2VsZHhMHf-1x7Y/edit?usp=sharing"",""แผน!IF83"")"),0)</f>
        <v>0</v>
      </c>
      <c r="J652" s="37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t="shared" ref="K652:K654" ca="1" si="408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IFERROR(__xludf.DUMMYFUNCTION("IMPORTRANGE(""https://docs.google.com/spreadsheets/d/1eHaY18a8A9IcSdp1K8H6x8fbOy06t2VsZHhMHf-1x7Y/edit?usp=sharing"",""แผน!IG83"")"),0)</f>
        <v>0</v>
      </c>
      <c r="J653" s="37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t="shared" ca="1" si="408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IFERROR(__xludf.DUMMYFUNCTION("IMPORTRANGE(""https://docs.google.com/spreadsheets/d/1eHaY18a8A9IcSdp1K8H6x8fbOy06t2VsZHhMHf-1x7Y/edit?usp=sharing"",""แผน!IH83"")"),0)</f>
        <v>0</v>
      </c>
      <c r="J654" s="371">
        <f>J657+J660</f>
        <v>0</v>
      </c>
      <c r="K654" s="133">
        <f t="shared" ca="1" si="408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IFERROR(__xludf.DUMMYFUNCTION("IMPORTRANGE(""https://docs.google.com/spreadsheets/d/1eHaY18a8A9IcSdp1K8H6x8fbOy06t2VsZHhMHf-1x7Y/edit?usp=sharing"",""แผน!II83"")"),0)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IFERROR(__xludf.DUMMYFUNCTION("IMPORTRANGE(""https://docs.google.com/spreadsheets/d/1eHaY18a8A9IcSdp1K8H6x8fbOy06t2VsZHhMHf-1x7Y/edit?usp=sharing"",""แผน!IJ83"")"),0)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IFERROR(__xludf.DUMMYFUNCTION("IMPORTRANGE(""https://docs.google.com/spreadsheets/d/1eHaY18a8A9IcSdp1K8H6x8fbOy06t2VsZHhMHf-1x7Y/edit?usp=sharing"",""แผน!IK83"")"),0)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IFERROR(__xludf.DUMMYFUNCTION("IMPORTRANGE(""https://docs.google.com/spreadsheets/d/1eHaY18a8A9IcSdp1K8H6x8fbOy06t2VsZHhMHf-1x7Y/edit?usp=sharing"",""แผน!IL83"")"),0)</f>
        <v>0</v>
      </c>
      <c r="J673" s="37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t="shared" ref="K673:K676" ca="1" si="409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IFERROR(__xludf.DUMMYFUNCTION("IMPORTRANGE(""https://docs.google.com/spreadsheets/d/1eHaY18a8A9IcSdp1K8H6x8fbOy06t2VsZHhMHf-1x7Y/edit?usp=sharing"",""แผน!IM83"")"),0)</f>
        <v>0</v>
      </c>
      <c r="J674" s="371">
        <f ca="1">J676+J679</f>
        <v>0</v>
      </c>
      <c r="K674" s="133">
        <f t="shared" ca="1" si="409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IFERROR(__xludf.DUMMYFUNCTION("IMPORTRANGE(""https://docs.google.com/spreadsheets/d/1eHaY18a8A9IcSdp1K8H6x8fbOy06t2VsZHhMHf-1x7Y/edit?usp=sharing"",""แผน!IN83"")"),0)</f>
        <v>0</v>
      </c>
      <c r="J675" s="371">
        <f ca="1">J678+J681</f>
        <v>0</v>
      </c>
      <c r="K675" s="133">
        <f t="shared" ca="1" si="409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IFERROR(__xludf.DUMMYFUNCTION("IMPORTRANGE(""https://docs.google.com/spreadsheets/d/1eHaY18a8A9IcSdp1K8H6x8fbOy06t2VsZHhMHf-1x7Y/edit?usp=sharing"",""แผน!IO83"")"),0)</f>
        <v>0</v>
      </c>
      <c r="J676" s="37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t="shared" ca="1" si="409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IFERROR(__xludf.DUMMYFUNCTION("IMPORTRANGE(""https://docs.google.com/spreadsheets/d/1eHaY18a8A9IcSdp1K8H6x8fbOy06t2VsZHhMHf-1x7Y/edit?usp=sharing"",""แผน!IP83"")"),0)</f>
        <v>0</v>
      </c>
      <c r="J678" s="37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t="shared" ref="K678:K679" ca="1" si="410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IFERROR(__xludf.DUMMYFUNCTION("IMPORTRANGE(""https://docs.google.com/spreadsheets/d/1eHaY18a8A9IcSdp1K8H6x8fbOy06t2VsZHhMHf-1x7Y/edit?usp=sharing"",""แผน!IQ83"")"),0)</f>
        <v>0</v>
      </c>
      <c r="J679" s="37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t="shared" ca="1" si="410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IFERROR(__xludf.DUMMYFUNCTION("IMPORTRANGE(""https://docs.google.com/spreadsheets/d/1eHaY18a8A9IcSdp1K8H6x8fbOy06t2VsZHhMHf-1x7Y/edit?usp=sharing"",""แผน!IR83"")"),0)</f>
        <v>0</v>
      </c>
      <c r="J681" s="37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t="shared" ref="K681:K682" ca="1" si="411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IFERROR(__xludf.DUMMYFUNCTION("IMPORTRANGE(""https://docs.google.com/spreadsheets/d/1eHaY18a8A9IcSdp1K8H6x8fbOy06t2VsZHhMHf-1x7Y/edit?usp=sharing"",""แผน!IS83"")"),0)</f>
        <v>0</v>
      </c>
      <c r="J682" s="371">
        <f>J685+J688</f>
        <v>0</v>
      </c>
      <c r="K682" s="133">
        <f t="shared" ca="1" si="411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503" t="s">
        <v>35</v>
      </c>
      <c r="I689" s="504">
        <f t="shared" ref="I689:J689" ca="1" si="412">I707+I709</f>
        <v>50</v>
      </c>
      <c r="J689" s="504">
        <f t="shared" ca="1" si="412"/>
        <v>0</v>
      </c>
      <c r="K689" s="505">
        <f ca="1">IF(I689&gt;0,J689*100/I689,0)</f>
        <v>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191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3">L691+L692</f>
        <v>0</v>
      </c>
      <c r="M690" s="133">
        <f t="shared" si="413"/>
        <v>0</v>
      </c>
      <c r="N690" s="133">
        <f t="shared" si="413"/>
        <v>0</v>
      </c>
      <c r="O690" s="133">
        <f t="shared" ref="O690:O698" si="414">IF(L690&gt;0,N690*100/L690,0)</f>
        <v>0</v>
      </c>
      <c r="P690" s="133">
        <f t="shared" ref="P690:P698" si="415">IF(M690&gt;0,N690*100/M690,0)</f>
        <v>0</v>
      </c>
      <c r="Q690" s="133">
        <f t="shared" ref="Q690:S690" ca="1" si="416">Q691+Q692</f>
        <v>0</v>
      </c>
      <c r="R690" s="133">
        <f t="shared" ca="1" si="416"/>
        <v>30000</v>
      </c>
      <c r="S690" s="133">
        <f t="shared" ca="1" si="416"/>
        <v>60000</v>
      </c>
      <c r="T690" s="133">
        <f t="shared" ref="T690:T698" ca="1" si="417">IF(Q690&gt;0,S690*100/Q690,0)</f>
        <v>0</v>
      </c>
      <c r="U690" s="133">
        <f t="shared" ref="U690:U698" ca="1" si="418">IF(R690&gt;0,S690*100/R690,0)</f>
        <v>200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9">L694+L697</f>
        <v>0</v>
      </c>
      <c r="M691" s="49">
        <f t="shared" si="419"/>
        <v>0</v>
      </c>
      <c r="N691" s="49">
        <f t="shared" si="419"/>
        <v>0</v>
      </c>
      <c r="O691" s="49">
        <f t="shared" si="414"/>
        <v>0</v>
      </c>
      <c r="P691" s="49">
        <f t="shared" si="415"/>
        <v>0</v>
      </c>
      <c r="Q691" s="49">
        <f t="shared" ref="Q691:S692" si="420">Q694+Q697</f>
        <v>0</v>
      </c>
      <c r="R691" s="49">
        <f t="shared" si="420"/>
        <v>0</v>
      </c>
      <c r="S691" s="49">
        <f t="shared" si="420"/>
        <v>0</v>
      </c>
      <c r="T691" s="49">
        <f t="shared" si="417"/>
        <v>0</v>
      </c>
      <c r="U691" s="49">
        <f t="shared" si="418"/>
        <v>0</v>
      </c>
    </row>
    <row r="692" spans="1:21" ht="18.75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9"/>
        <v>0</v>
      </c>
      <c r="M692" s="47">
        <f t="shared" si="419"/>
        <v>0</v>
      </c>
      <c r="N692" s="47">
        <f t="shared" si="419"/>
        <v>0</v>
      </c>
      <c r="O692" s="47">
        <f t="shared" si="414"/>
        <v>0</v>
      </c>
      <c r="P692" s="47">
        <f t="shared" si="415"/>
        <v>0</v>
      </c>
      <c r="Q692" s="47">
        <f t="shared" ca="1" si="420"/>
        <v>0</v>
      </c>
      <c r="R692" s="47">
        <f t="shared" ca="1" si="420"/>
        <v>30000</v>
      </c>
      <c r="S692" s="47">
        <f t="shared" ca="1" si="420"/>
        <v>60000</v>
      </c>
      <c r="T692" s="47">
        <f t="shared" ca="1" si="417"/>
        <v>0</v>
      </c>
      <c r="U692" s="47">
        <f t="shared" ca="1" si="418"/>
        <v>200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1">L694+L695</f>
        <v>0</v>
      </c>
      <c r="M693" s="47">
        <f t="shared" si="421"/>
        <v>0</v>
      </c>
      <c r="N693" s="47">
        <f t="shared" si="421"/>
        <v>0</v>
      </c>
      <c r="O693" s="47">
        <f t="shared" si="414"/>
        <v>0</v>
      </c>
      <c r="P693" s="47">
        <f t="shared" si="415"/>
        <v>0</v>
      </c>
      <c r="Q693" s="47">
        <f t="shared" ref="Q693:S693" ca="1" si="422">Q694+Q695</f>
        <v>0</v>
      </c>
      <c r="R693" s="47">
        <f t="shared" ca="1" si="422"/>
        <v>30000</v>
      </c>
      <c r="S693" s="47">
        <f t="shared" ca="1" si="422"/>
        <v>60000</v>
      </c>
      <c r="T693" s="47">
        <f t="shared" ca="1" si="417"/>
        <v>0</v>
      </c>
      <c r="U693" s="47">
        <f t="shared" ca="1" si="418"/>
        <v>200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4"/>
        <v>0</v>
      </c>
      <c r="P694" s="49">
        <f t="shared" si="415"/>
        <v>0</v>
      </c>
      <c r="Q694" s="49">
        <v>0</v>
      </c>
      <c r="R694" s="49">
        <v>0</v>
      </c>
      <c r="S694" s="49">
        <v>0</v>
      </c>
      <c r="T694" s="49">
        <f t="shared" si="417"/>
        <v>0</v>
      </c>
      <c r="U694" s="49">
        <f t="shared" si="418"/>
        <v>0</v>
      </c>
    </row>
    <row r="695" spans="1:21" ht="18.75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4"/>
        <v>0</v>
      </c>
      <c r="P695" s="47">
        <f t="shared" si="415"/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IFERROR(__xludf.DUMMYFUNCTION("IMPORTRANGE(""https://docs.google.com/spreadsheets/d/1ItG2mGa2ceCfYo0BwxsXqNm01IGEUdYcSSLTEv9YCik/edit?usp=sharing"",""เบิกจ่ายกองทุน!M83"")"),30000)</f>
        <v>30000</v>
      </c>
      <c r="S695" s="47">
        <f ca="1">IFERROR(__xludf.DUMMYFUNCTION("IMPORTRANGE(""https://docs.google.com/spreadsheets/d/1ItG2mGa2ceCfYo0BwxsXqNm01IGEUdYcSSLTEv9YCik/edit?usp=sharing"",""เบิกจ่ายกองทุน!N83"")"),60000)</f>
        <v>60000</v>
      </c>
      <c r="T695" s="47">
        <f t="shared" ca="1" si="417"/>
        <v>0</v>
      </c>
      <c r="U695" s="47">
        <f t="shared" ca="1" si="418"/>
        <v>200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3">L697+L698</f>
        <v>0</v>
      </c>
      <c r="M696" s="47">
        <f t="shared" si="423"/>
        <v>0</v>
      </c>
      <c r="N696" s="47">
        <f t="shared" si="423"/>
        <v>0</v>
      </c>
      <c r="O696" s="47">
        <f t="shared" si="414"/>
        <v>0</v>
      </c>
      <c r="P696" s="47">
        <f t="shared" si="415"/>
        <v>0</v>
      </c>
      <c r="Q696" s="47">
        <f t="shared" ref="Q696:S696" si="424">Q697+Q698</f>
        <v>0</v>
      </c>
      <c r="R696" s="47">
        <f t="shared" si="424"/>
        <v>0</v>
      </c>
      <c r="S696" s="47">
        <f t="shared" si="424"/>
        <v>0</v>
      </c>
      <c r="T696" s="47">
        <f t="shared" si="417"/>
        <v>0</v>
      </c>
      <c r="U696" s="47">
        <f t="shared" si="418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4"/>
        <v>0</v>
      </c>
      <c r="P697" s="49">
        <f t="shared" si="415"/>
        <v>0</v>
      </c>
      <c r="Q697" s="49">
        <v>0</v>
      </c>
      <c r="R697" s="49">
        <v>0</v>
      </c>
      <c r="S697" s="49">
        <v>0</v>
      </c>
      <c r="T697" s="49">
        <f t="shared" si="417"/>
        <v>0</v>
      </c>
      <c r="U697" s="49">
        <f t="shared" si="418"/>
        <v>0</v>
      </c>
    </row>
    <row r="698" spans="1:21" ht="18.75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4"/>
        <v>0</v>
      </c>
      <c r="P698" s="47">
        <f t="shared" si="415"/>
        <v>0</v>
      </c>
      <c r="Q698" s="47">
        <v>0</v>
      </c>
      <c r="R698" s="47">
        <v>0</v>
      </c>
      <c r="S698" s="47">
        <v>0</v>
      </c>
      <c r="T698" s="47">
        <f t="shared" si="417"/>
        <v>0</v>
      </c>
      <c r="U698" s="47">
        <f t="shared" si="418"/>
        <v>0</v>
      </c>
    </row>
    <row r="699" spans="1:21" ht="19.5" x14ac:dyDescent="0.3">
      <c r="A699" s="139"/>
      <c r="B699" s="140"/>
      <c r="C699" s="191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IFERROR(__xludf.DUMMYFUNCTION("IMPORTRANGE(""https://docs.google.com/spreadsheets/d/1eHaY18a8A9IcSdp1K8H6x8fbOy06t2VsZHhMHf-1x7Y/edit?usp=sharing"",""แผน!LC83"")"),0)</f>
        <v>0</v>
      </c>
      <c r="J700" s="169">
        <v>0</v>
      </c>
      <c r="K700" s="154">
        <f t="shared" ref="K700:K710" ca="1" si="425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6">I703+I705</f>
        <v>50</v>
      </c>
      <c r="J701" s="371">
        <f t="shared" ca="1" si="426"/>
        <v>0</v>
      </c>
      <c r="K701" s="133">
        <f t="shared" ca="1" si="425"/>
        <v>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5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IFERROR(__xludf.DUMMYFUNCTION("IMPORTRANGE(""https://docs.google.com/spreadsheets/d/1eHaY18a8A9IcSdp1K8H6x8fbOy06t2VsZHhMHf-1x7Y/edit?usp=sharing"",""แผน!LJ83"")"),50)</f>
        <v>50</v>
      </c>
      <c r="J703" s="37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t="shared" ca="1" si="425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 t="shared" si="425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IFERROR(__xludf.DUMMYFUNCTION("IMPORTRANGE(""https://docs.google.com/spreadsheets/d/1eHaY18a8A9IcSdp1K8H6x8fbOy06t2VsZHhMHf-1x7Y/edit?usp=sharing"",""แผน!LK83"")"),0)</f>
        <v>0</v>
      </c>
      <c r="J705" s="372">
        <f ca="1">IFERROR(__xludf.DUMMYFUNCTION("IMPORTRANGE(""https://docs.google.com/spreadsheets/d/1tdoBKaGub7dwA3U6UFTqxio9LNnvDCQjHKmttSEBsFQ/edit?usp=sharing"",""จัดที่ดิน!AR83"")"),0)</f>
        <v>0</v>
      </c>
      <c r="K705" s="154">
        <f t="shared" ca="1" si="425"/>
        <v>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 t="shared" si="425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IFERROR(__xludf.DUMMYFUNCTION("IMPORTRANGE(""https://docs.google.com/spreadsheets/d/1eHaY18a8A9IcSdp1K8H6x8fbOy06t2VsZHhMHf-1x7Y/edit?usp=sharing"",""แผน!LJ83"")"),50)</f>
        <v>50</v>
      </c>
      <c r="J707" s="37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t="shared" ca="1" si="425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 t="shared" si="425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IFERROR(__xludf.DUMMYFUNCTION("IMPORTRANGE(""https://docs.google.com/spreadsheets/d/1eHaY18a8A9IcSdp1K8H6x8fbOy06t2VsZHhMHf-1x7Y/edit?usp=sharing"",""แผน!LK83"")"),0)</f>
        <v>0</v>
      </c>
      <c r="J709" s="37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t="shared" ca="1" si="425"/>
        <v>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 t="shared" si="425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7">L715+L716</f>
        <v>0</v>
      </c>
      <c r="M714" s="133">
        <f t="shared" si="427"/>
        <v>0</v>
      </c>
      <c r="N714" s="133">
        <f t="shared" si="427"/>
        <v>0</v>
      </c>
      <c r="O714" s="133">
        <f t="shared" ref="O714:O722" si="428">IF(L714&gt;0,N714*100/L714,0)</f>
        <v>0</v>
      </c>
      <c r="P714" s="133">
        <f t="shared" ref="P714:P722" si="429">IF(M714&gt;0,N714*100/M714,0)</f>
        <v>0</v>
      </c>
      <c r="Q714" s="133">
        <f t="shared" ref="Q714:S714" si="430">Q715+Q716</f>
        <v>0</v>
      </c>
      <c r="R714" s="133">
        <f t="shared" si="430"/>
        <v>0</v>
      </c>
      <c r="S714" s="133">
        <f t="shared" si="430"/>
        <v>0</v>
      </c>
      <c r="T714" s="133">
        <f t="shared" ref="T714:T722" si="431">IF(Q714&gt;0,S714*100/Q714,0)</f>
        <v>0</v>
      </c>
      <c r="U714" s="133">
        <f t="shared" ref="U714:U722" si="432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3">L718+L721</f>
        <v>0</v>
      </c>
      <c r="M715" s="49">
        <f t="shared" si="433"/>
        <v>0</v>
      </c>
      <c r="N715" s="49">
        <f t="shared" si="433"/>
        <v>0</v>
      </c>
      <c r="O715" s="49">
        <f t="shared" si="428"/>
        <v>0</v>
      </c>
      <c r="P715" s="49">
        <f t="shared" si="429"/>
        <v>0</v>
      </c>
      <c r="Q715" s="49">
        <f t="shared" ref="Q715:S716" si="434">Q718+Q721</f>
        <v>0</v>
      </c>
      <c r="R715" s="49">
        <f t="shared" si="434"/>
        <v>0</v>
      </c>
      <c r="S715" s="49">
        <f t="shared" si="434"/>
        <v>0</v>
      </c>
      <c r="T715" s="49">
        <f t="shared" si="431"/>
        <v>0</v>
      </c>
      <c r="U715" s="49">
        <f t="shared" si="432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3"/>
        <v>0</v>
      </c>
      <c r="M716" s="47">
        <f t="shared" si="433"/>
        <v>0</v>
      </c>
      <c r="N716" s="47">
        <f t="shared" si="433"/>
        <v>0</v>
      </c>
      <c r="O716" s="47">
        <f t="shared" si="428"/>
        <v>0</v>
      </c>
      <c r="P716" s="47">
        <f t="shared" si="429"/>
        <v>0</v>
      </c>
      <c r="Q716" s="47">
        <f t="shared" si="434"/>
        <v>0</v>
      </c>
      <c r="R716" s="47">
        <f t="shared" si="434"/>
        <v>0</v>
      </c>
      <c r="S716" s="47">
        <f t="shared" si="434"/>
        <v>0</v>
      </c>
      <c r="T716" s="47">
        <f t="shared" si="431"/>
        <v>0</v>
      </c>
      <c r="U716" s="47">
        <f t="shared" si="432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5">L718+L719</f>
        <v>0</v>
      </c>
      <c r="M717" s="47">
        <f t="shared" si="435"/>
        <v>0</v>
      </c>
      <c r="N717" s="47">
        <f t="shared" si="435"/>
        <v>0</v>
      </c>
      <c r="O717" s="47">
        <f t="shared" si="428"/>
        <v>0</v>
      </c>
      <c r="P717" s="47">
        <f t="shared" si="429"/>
        <v>0</v>
      </c>
      <c r="Q717" s="47">
        <f t="shared" ref="Q717:S717" si="436">Q718+Q719</f>
        <v>0</v>
      </c>
      <c r="R717" s="47">
        <f t="shared" si="436"/>
        <v>0</v>
      </c>
      <c r="S717" s="47">
        <f t="shared" si="436"/>
        <v>0</v>
      </c>
      <c r="T717" s="47">
        <f t="shared" si="431"/>
        <v>0</v>
      </c>
      <c r="U717" s="47">
        <f t="shared" si="432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8"/>
        <v>0</v>
      </c>
      <c r="P718" s="49">
        <f t="shared" si="429"/>
        <v>0</v>
      </c>
      <c r="Q718" s="49">
        <v>0</v>
      </c>
      <c r="R718" s="49">
        <v>0</v>
      </c>
      <c r="S718" s="49">
        <v>0</v>
      </c>
      <c r="T718" s="49">
        <f t="shared" si="431"/>
        <v>0</v>
      </c>
      <c r="U718" s="49">
        <f t="shared" si="432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8"/>
        <v>0</v>
      </c>
      <c r="P719" s="47">
        <f t="shared" si="429"/>
        <v>0</v>
      </c>
      <c r="Q719" s="47">
        <v>0</v>
      </c>
      <c r="R719" s="47">
        <v>0</v>
      </c>
      <c r="S719" s="47">
        <v>0</v>
      </c>
      <c r="T719" s="47">
        <f t="shared" si="431"/>
        <v>0</v>
      </c>
      <c r="U719" s="47">
        <f t="shared" si="432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7">L721+L722</f>
        <v>0</v>
      </c>
      <c r="M720" s="47">
        <f t="shared" si="437"/>
        <v>0</v>
      </c>
      <c r="N720" s="47">
        <f t="shared" si="437"/>
        <v>0</v>
      </c>
      <c r="O720" s="47">
        <f t="shared" si="428"/>
        <v>0</v>
      </c>
      <c r="P720" s="47">
        <f t="shared" si="429"/>
        <v>0</v>
      </c>
      <c r="Q720" s="47">
        <f t="shared" ref="Q720:S720" si="438">Q721+Q722</f>
        <v>0</v>
      </c>
      <c r="R720" s="47">
        <f t="shared" si="438"/>
        <v>0</v>
      </c>
      <c r="S720" s="47">
        <f t="shared" si="438"/>
        <v>0</v>
      </c>
      <c r="T720" s="47">
        <f t="shared" si="431"/>
        <v>0</v>
      </c>
      <c r="U720" s="47">
        <f t="shared" si="432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8"/>
        <v>0</v>
      </c>
      <c r="P721" s="49">
        <f t="shared" si="429"/>
        <v>0</v>
      </c>
      <c r="Q721" s="49">
        <v>0</v>
      </c>
      <c r="R721" s="49">
        <v>0</v>
      </c>
      <c r="S721" s="49">
        <v>0</v>
      </c>
      <c r="T721" s="49">
        <f t="shared" si="431"/>
        <v>0</v>
      </c>
      <c r="U721" s="49">
        <f t="shared" si="432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8"/>
        <v>0</v>
      </c>
      <c r="P722" s="47">
        <f t="shared" si="429"/>
        <v>0</v>
      </c>
      <c r="Q722" s="47">
        <v>0</v>
      </c>
      <c r="R722" s="47">
        <v>0</v>
      </c>
      <c r="S722" s="47">
        <v>0</v>
      </c>
      <c r="T722" s="47">
        <f t="shared" si="431"/>
        <v>0</v>
      </c>
      <c r="U722" s="47">
        <f t="shared" si="432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IFERROR(__xludf.DUMMYFUNCTION("IMPORTRANGE(""https://docs.google.com/spreadsheets/d/1eHaY18a8A9IcSdp1K8H6x8fbOy06t2VsZHhMHf-1x7Y/edit?usp=sharing"",""แผน!GA83"")"),11)</f>
        <v>11</v>
      </c>
      <c r="J726" s="504">
        <f>J742+J746+J749</f>
        <v>11</v>
      </c>
      <c r="K726" s="505">
        <f t="shared" ref="K726:K727" ca="1" si="439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IFERROR(__xludf.DUMMYFUNCTION("IMPORTRANGE(""https://docs.google.com/spreadsheets/d/1eHaY18a8A9IcSdp1K8H6x8fbOy06t2VsZHhMHf-1x7Y/edit?usp=sharing"",""แผน!FZ83"")"),100)</f>
        <v>100</v>
      </c>
      <c r="J727" s="504">
        <f>J752+J755</f>
        <v>100</v>
      </c>
      <c r="K727" s="505">
        <f t="shared" ca="1" si="439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0">L729+L730</f>
        <v>0</v>
      </c>
      <c r="M728" s="133">
        <f t="shared" si="440"/>
        <v>0</v>
      </c>
      <c r="N728" s="133">
        <f t="shared" si="440"/>
        <v>0</v>
      </c>
      <c r="O728" s="133">
        <f t="shared" ref="O728:O736" si="441">IF(L728&gt;0,N728*100/L728,0)</f>
        <v>0</v>
      </c>
      <c r="P728" s="133">
        <f t="shared" ref="P728:P736" si="442">IF(M728&gt;0,N728*100/M728,0)</f>
        <v>0</v>
      </c>
      <c r="Q728" s="133">
        <f t="shared" ref="Q728:S728" ca="1" si="443">Q729+Q730</f>
        <v>111882</v>
      </c>
      <c r="R728" s="133">
        <f t="shared" ca="1" si="443"/>
        <v>117322</v>
      </c>
      <c r="S728" s="133">
        <f t="shared" ca="1" si="443"/>
        <v>121522</v>
      </c>
      <c r="T728" s="133">
        <f t="shared" ref="T728:T736" ca="1" si="444">IF(Q728&gt;0,S728*100/Q728,0)</f>
        <v>108.6162206610536</v>
      </c>
      <c r="U728" s="133">
        <f t="shared" ref="U728:U736" ca="1" si="445">IF(R728&gt;0,S728*100/R728,0)</f>
        <v>103.57989123949473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6">L732+L735</f>
        <v>0</v>
      </c>
      <c r="M729" s="49">
        <f t="shared" si="446"/>
        <v>0</v>
      </c>
      <c r="N729" s="49">
        <f t="shared" si="446"/>
        <v>0</v>
      </c>
      <c r="O729" s="49">
        <f t="shared" si="441"/>
        <v>0</v>
      </c>
      <c r="P729" s="49">
        <f t="shared" si="442"/>
        <v>0</v>
      </c>
      <c r="Q729" s="49">
        <f t="shared" ref="Q729:S730" si="447">Q732+Q735</f>
        <v>0</v>
      </c>
      <c r="R729" s="49">
        <f t="shared" si="447"/>
        <v>0</v>
      </c>
      <c r="S729" s="49">
        <f t="shared" si="447"/>
        <v>0</v>
      </c>
      <c r="T729" s="49">
        <f t="shared" si="444"/>
        <v>0</v>
      </c>
      <c r="U729" s="49">
        <f t="shared" si="445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6"/>
        <v>0</v>
      </c>
      <c r="M730" s="47">
        <f t="shared" si="446"/>
        <v>0</v>
      </c>
      <c r="N730" s="47">
        <f t="shared" si="446"/>
        <v>0</v>
      </c>
      <c r="O730" s="47">
        <f t="shared" si="441"/>
        <v>0</v>
      </c>
      <c r="P730" s="47">
        <f t="shared" si="442"/>
        <v>0</v>
      </c>
      <c r="Q730" s="47">
        <f t="shared" ca="1" si="447"/>
        <v>111882</v>
      </c>
      <c r="R730" s="47">
        <f t="shared" ca="1" si="447"/>
        <v>117322</v>
      </c>
      <c r="S730" s="47">
        <f t="shared" ca="1" si="447"/>
        <v>121522</v>
      </c>
      <c r="T730" s="47">
        <f t="shared" ca="1" si="444"/>
        <v>108.6162206610536</v>
      </c>
      <c r="U730" s="47">
        <f t="shared" ca="1" si="445"/>
        <v>103.57989123949473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8">L732+L733</f>
        <v>0</v>
      </c>
      <c r="M731" s="47">
        <f t="shared" si="448"/>
        <v>0</v>
      </c>
      <c r="N731" s="47">
        <f t="shared" si="448"/>
        <v>0</v>
      </c>
      <c r="O731" s="47">
        <f t="shared" si="441"/>
        <v>0</v>
      </c>
      <c r="P731" s="47">
        <f t="shared" si="442"/>
        <v>0</v>
      </c>
      <c r="Q731" s="47">
        <f t="shared" ref="Q731:S731" ca="1" si="449">Q732+Q733</f>
        <v>111882</v>
      </c>
      <c r="R731" s="47">
        <f t="shared" ca="1" si="449"/>
        <v>117322</v>
      </c>
      <c r="S731" s="47">
        <f t="shared" ca="1" si="449"/>
        <v>121522</v>
      </c>
      <c r="T731" s="47">
        <f t="shared" ca="1" si="444"/>
        <v>108.6162206610536</v>
      </c>
      <c r="U731" s="47">
        <f t="shared" ca="1" si="445"/>
        <v>103.57989123949473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1"/>
        <v>0</v>
      </c>
      <c r="P732" s="49">
        <f t="shared" si="442"/>
        <v>0</v>
      </c>
      <c r="Q732" s="49">
        <v>0</v>
      </c>
      <c r="R732" s="49">
        <v>0</v>
      </c>
      <c r="S732" s="49">
        <v>0</v>
      </c>
      <c r="T732" s="49">
        <f t="shared" si="444"/>
        <v>0</v>
      </c>
      <c r="U732" s="49">
        <f t="shared" si="445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1"/>
        <v>0</v>
      </c>
      <c r="P733" s="47">
        <f t="shared" si="442"/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IFERROR(__xludf.DUMMYFUNCTION("IMPORTRANGE(""https://docs.google.com/spreadsheets/d/1ItG2mGa2ceCfYo0BwxsXqNm01IGEUdYcSSLTEv9YCik/edit?usp=sharing"",""เบิกจ่ายกองทุน!P83"")"),117322)</f>
        <v>117322</v>
      </c>
      <c r="S733" s="47">
        <f ca="1">IFERROR(__xludf.DUMMYFUNCTION("IMPORTRANGE(""https://docs.google.com/spreadsheets/d/1ItG2mGa2ceCfYo0BwxsXqNm01IGEUdYcSSLTEv9YCik/edit?usp=sharing"",""เบิกจ่ายกองทุน!Q83"")"),121522)</f>
        <v>121522</v>
      </c>
      <c r="T733" s="47">
        <f t="shared" ca="1" si="444"/>
        <v>108.6162206610536</v>
      </c>
      <c r="U733" s="47">
        <f t="shared" ca="1" si="445"/>
        <v>103.57989123949473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0">L735+L736</f>
        <v>0</v>
      </c>
      <c r="M734" s="47">
        <f t="shared" si="450"/>
        <v>0</v>
      </c>
      <c r="N734" s="47">
        <f t="shared" si="450"/>
        <v>0</v>
      </c>
      <c r="O734" s="47">
        <f t="shared" si="441"/>
        <v>0</v>
      </c>
      <c r="P734" s="47">
        <f t="shared" si="442"/>
        <v>0</v>
      </c>
      <c r="Q734" s="47">
        <f t="shared" ref="Q734:S734" si="451">Q735+Q736</f>
        <v>0</v>
      </c>
      <c r="R734" s="47">
        <f t="shared" si="451"/>
        <v>0</v>
      </c>
      <c r="S734" s="47">
        <f t="shared" si="451"/>
        <v>0</v>
      </c>
      <c r="T734" s="47">
        <f t="shared" si="444"/>
        <v>0</v>
      </c>
      <c r="U734" s="47">
        <f t="shared" si="445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1"/>
        <v>0</v>
      </c>
      <c r="P735" s="49">
        <f t="shared" si="442"/>
        <v>0</v>
      </c>
      <c r="Q735" s="49">
        <v>0</v>
      </c>
      <c r="R735" s="49">
        <v>0</v>
      </c>
      <c r="S735" s="49">
        <v>0</v>
      </c>
      <c r="T735" s="49">
        <f t="shared" si="444"/>
        <v>0</v>
      </c>
      <c r="U735" s="49">
        <f t="shared" si="445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1"/>
        <v>0</v>
      </c>
      <c r="P736" s="47">
        <f t="shared" si="442"/>
        <v>0</v>
      </c>
      <c r="Q736" s="47">
        <v>0</v>
      </c>
      <c r="R736" s="47">
        <v>0</v>
      </c>
      <c r="S736" s="47">
        <v>0</v>
      </c>
      <c r="T736" s="47">
        <f t="shared" si="444"/>
        <v>0</v>
      </c>
      <c r="U736" s="47">
        <f t="shared" si="445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IFERROR(__xludf.DUMMYFUNCTION("IMPORTRANGE(""https://docs.google.com/spreadsheets/d/1eHaY18a8A9IcSdp1K8H6x8fbOy06t2VsZHhMHf-1x7Y/edit?usp=sharing"",""แผน!GB83"")"),80)</f>
        <v>80</v>
      </c>
      <c r="J740" s="795">
        <v>80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2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IFERROR(__xludf.DUMMYFUNCTION("IMPORTRANGE(""https://docs.google.com/spreadsheets/d/1eHaY18a8A9IcSdp1K8H6x8fbOy06t2VsZHhMHf-1x7Y/edit?usp=sharing"",""แผน!GC83"")"),8)</f>
        <v>8</v>
      </c>
      <c r="J742" s="795">
        <v>8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IFERROR(__xludf.DUMMYFUNCTION("IMPORTRANGE(""https://docs.google.com/spreadsheets/d/1eHaY18a8A9IcSdp1K8H6x8fbOy06t2VsZHhMHf-1x7Y/edit?usp=sharing"",""แผน!GD83"")"),20)</f>
        <v>20</v>
      </c>
      <c r="J744" s="795">
        <v>20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2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IFERROR(__xludf.DUMMYFUNCTION("IMPORTRANGE(""https://docs.google.com/spreadsheets/d/1eHaY18a8A9IcSdp1K8H6x8fbOy06t2VsZHhMHf-1x7Y/edit?usp=sharing"",""แผน!GE83"")"),2)</f>
        <v>2</v>
      </c>
      <c r="J746" s="795">
        <v>2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1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IFERROR(__xludf.DUMMYFUNCTION("IMPORTRANGE(""https://docs.google.com/spreadsheets/d/1eHaY18a8A9IcSdp1K8H6x8fbOy06t2VsZHhMHf-1x7Y/edit?usp=sharing"",""แผน!GF83"")"),1)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IFERROR(__xludf.DUMMYFUNCTION("IMPORTRANGE(""https://docs.google.com/spreadsheets/d/1eHaY18a8A9IcSdp1K8H6x8fbOy06t2VsZHhMHf-1x7Y/edit?usp=sharing"",""แผน!GB83"")"),80)</f>
        <v>80</v>
      </c>
      <c r="J752" s="795">
        <v>80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8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IFERROR(__xludf.DUMMYFUNCTION("IMPORTRANGE(""https://docs.google.com/spreadsheets/d/1eHaY18a8A9IcSdp1K8H6x8fbOy06t2VsZHhMHf-1x7Y/edit?usp=sharing"",""แผน!GD83"")"),20)</f>
        <v>20</v>
      </c>
      <c r="J755" s="795">
        <v>20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2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2">I772</f>
        <v>25</v>
      </c>
      <c r="J758" s="504">
        <f t="shared" si="452"/>
        <v>25</v>
      </c>
      <c r="K758" s="505">
        <f t="shared" ref="K758:K759" ca="1" si="453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4">I774</f>
        <v>50</v>
      </c>
      <c r="J759" s="504">
        <f t="shared" si="454"/>
        <v>50</v>
      </c>
      <c r="K759" s="505">
        <f t="shared" ca="1" si="453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5">L761+L762</f>
        <v>0</v>
      </c>
      <c r="M760" s="133">
        <f t="shared" si="455"/>
        <v>0</v>
      </c>
      <c r="N760" s="133">
        <f t="shared" si="455"/>
        <v>0</v>
      </c>
      <c r="O760" s="133">
        <f t="shared" ref="O760:O768" si="456">IF(L760&gt;0,N760*100/L760,0)</f>
        <v>0</v>
      </c>
      <c r="P760" s="133">
        <f t="shared" ref="P760:P768" si="457">IF(M760&gt;0,N760*100/M760,0)</f>
        <v>0</v>
      </c>
      <c r="Q760" s="133">
        <f t="shared" ref="Q760:S760" ca="1" si="458">Q761+Q762</f>
        <v>169530</v>
      </c>
      <c r="R760" s="133">
        <f t="shared" ca="1" si="458"/>
        <v>169530</v>
      </c>
      <c r="S760" s="133">
        <f t="shared" ca="1" si="458"/>
        <v>188910</v>
      </c>
      <c r="T760" s="133">
        <f t="shared" ref="T760:T768" ca="1" si="459">IF(Q760&gt;0,S760*100/Q760,0)</f>
        <v>111.43160502565918</v>
      </c>
      <c r="U760" s="133">
        <f t="shared" ref="U760:U768" ca="1" si="460">IF(R760&gt;0,S760*100/R760,0)</f>
        <v>111.43160502565918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1">L764+L767</f>
        <v>0</v>
      </c>
      <c r="M761" s="49">
        <f t="shared" si="461"/>
        <v>0</v>
      </c>
      <c r="N761" s="49">
        <f t="shared" si="461"/>
        <v>0</v>
      </c>
      <c r="O761" s="49">
        <f t="shared" si="456"/>
        <v>0</v>
      </c>
      <c r="P761" s="49">
        <f t="shared" si="457"/>
        <v>0</v>
      </c>
      <c r="Q761" s="49">
        <f t="shared" ref="Q761:S762" si="462">Q764+Q767</f>
        <v>0</v>
      </c>
      <c r="R761" s="49">
        <f t="shared" si="462"/>
        <v>0</v>
      </c>
      <c r="S761" s="49">
        <f t="shared" si="462"/>
        <v>0</v>
      </c>
      <c r="T761" s="49">
        <f t="shared" si="459"/>
        <v>0</v>
      </c>
      <c r="U761" s="49">
        <f t="shared" si="460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1"/>
        <v>0</v>
      </c>
      <c r="M762" s="47">
        <f t="shared" si="461"/>
        <v>0</v>
      </c>
      <c r="N762" s="47">
        <f t="shared" si="461"/>
        <v>0</v>
      </c>
      <c r="O762" s="47">
        <f t="shared" si="456"/>
        <v>0</v>
      </c>
      <c r="P762" s="47">
        <f t="shared" si="457"/>
        <v>0</v>
      </c>
      <c r="Q762" s="47">
        <f t="shared" ca="1" si="462"/>
        <v>169530</v>
      </c>
      <c r="R762" s="47">
        <f t="shared" ca="1" si="462"/>
        <v>169530</v>
      </c>
      <c r="S762" s="47">
        <f t="shared" ca="1" si="462"/>
        <v>188910</v>
      </c>
      <c r="T762" s="47">
        <f t="shared" ca="1" si="459"/>
        <v>111.43160502565918</v>
      </c>
      <c r="U762" s="47">
        <f t="shared" ca="1" si="460"/>
        <v>111.43160502565918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3">L764+L765</f>
        <v>0</v>
      </c>
      <c r="M763" s="47">
        <f t="shared" si="463"/>
        <v>0</v>
      </c>
      <c r="N763" s="47">
        <f t="shared" si="463"/>
        <v>0</v>
      </c>
      <c r="O763" s="47">
        <f t="shared" si="456"/>
        <v>0</v>
      </c>
      <c r="P763" s="47">
        <f t="shared" si="457"/>
        <v>0</v>
      </c>
      <c r="Q763" s="47">
        <f t="shared" ref="Q763:S763" ca="1" si="464">Q764+Q765</f>
        <v>169530</v>
      </c>
      <c r="R763" s="47">
        <f t="shared" ca="1" si="464"/>
        <v>169530</v>
      </c>
      <c r="S763" s="47">
        <f t="shared" ca="1" si="464"/>
        <v>188910</v>
      </c>
      <c r="T763" s="47">
        <f t="shared" ca="1" si="459"/>
        <v>111.43160502565918</v>
      </c>
      <c r="U763" s="47">
        <f t="shared" ca="1" si="460"/>
        <v>111.43160502565918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6"/>
        <v>0</v>
      </c>
      <c r="P764" s="49">
        <f t="shared" si="457"/>
        <v>0</v>
      </c>
      <c r="Q764" s="49">
        <v>0</v>
      </c>
      <c r="R764" s="49">
        <v>0</v>
      </c>
      <c r="S764" s="49">
        <v>0</v>
      </c>
      <c r="T764" s="49">
        <f t="shared" si="459"/>
        <v>0</v>
      </c>
      <c r="U764" s="49">
        <f t="shared" si="460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6"/>
        <v>0</v>
      </c>
      <c r="P765" s="47">
        <f t="shared" si="457"/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IFERROR(__xludf.DUMMYFUNCTION("IMPORTRANGE(""https://docs.google.com/spreadsheets/d/1ItG2mGa2ceCfYo0BwxsXqNm01IGEUdYcSSLTEv9YCik/edit?usp=sharing"",""เบิกจ่ายกองทุน!AC83"")"),188910)</f>
        <v>188910</v>
      </c>
      <c r="T765" s="47">
        <f t="shared" ca="1" si="459"/>
        <v>111.43160502565918</v>
      </c>
      <c r="U765" s="47">
        <f t="shared" ca="1" si="460"/>
        <v>111.43160502565918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5">L767+L768</f>
        <v>0</v>
      </c>
      <c r="M766" s="47">
        <f t="shared" si="465"/>
        <v>0</v>
      </c>
      <c r="N766" s="47">
        <f t="shared" si="465"/>
        <v>0</v>
      </c>
      <c r="O766" s="47">
        <f t="shared" si="456"/>
        <v>0</v>
      </c>
      <c r="P766" s="47">
        <f t="shared" si="457"/>
        <v>0</v>
      </c>
      <c r="Q766" s="47">
        <f t="shared" ref="Q766:S766" si="466">Q767+Q768</f>
        <v>0</v>
      </c>
      <c r="R766" s="47">
        <f t="shared" si="466"/>
        <v>0</v>
      </c>
      <c r="S766" s="47">
        <f t="shared" si="466"/>
        <v>0</v>
      </c>
      <c r="T766" s="47">
        <f t="shared" si="459"/>
        <v>0</v>
      </c>
      <c r="U766" s="47">
        <f t="shared" si="460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6"/>
        <v>0</v>
      </c>
      <c r="P767" s="49">
        <f t="shared" si="457"/>
        <v>0</v>
      </c>
      <c r="Q767" s="49">
        <v>0</v>
      </c>
      <c r="R767" s="49">
        <v>0</v>
      </c>
      <c r="S767" s="49">
        <v>0</v>
      </c>
      <c r="T767" s="49">
        <f t="shared" si="459"/>
        <v>0</v>
      </c>
      <c r="U767" s="49">
        <f t="shared" si="460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6"/>
        <v>0</v>
      </c>
      <c r="P768" s="47">
        <f t="shared" si="457"/>
        <v>0</v>
      </c>
      <c r="Q768" s="47">
        <v>0</v>
      </c>
      <c r="R768" s="47">
        <v>0</v>
      </c>
      <c r="S768" s="47">
        <v>0</v>
      </c>
      <c r="T768" s="47">
        <f t="shared" si="459"/>
        <v>0</v>
      </c>
      <c r="U768" s="47">
        <f t="shared" si="460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IFERROR(__xludf.DUMMYFUNCTION("IMPORTRANGE(""https://docs.google.com/spreadsheets/d/1eHaY18a8A9IcSdp1K8H6x8fbOy06t2VsZHhMHf-1x7Y/edit?usp=sharing"",""แผน!FI83"")"),1)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IFERROR(__xludf.DUMMYFUNCTION("IMPORTRANGE(""https://docs.google.com/spreadsheets/d/1eHaY18a8A9IcSdp1K8H6x8fbOy06t2VsZHhMHf-1x7Y/edit?usp=sharing"",""แผน!FQ83"")"),25)</f>
        <v>25</v>
      </c>
      <c r="J772" s="169">
        <v>25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IFERROR(__xludf.DUMMYFUNCTION("IMPORTRANGE(""https://docs.google.com/spreadsheets/d/1eHaY18a8A9IcSdp1K8H6x8fbOy06t2VsZHhMHf-1x7Y/edit?usp=sharing"",""แผน!FR83"")"),50)</f>
        <v>50</v>
      </c>
      <c r="J774" s="169">
        <v>50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IFERROR(__xludf.DUMMYFUNCTION("IMPORTRANGE(""https://docs.google.com/spreadsheets/d/1eHaY18a8A9IcSdp1K8H6x8fbOy06t2VsZHhMHf-1x7Y/edit?usp=sharing"",""แผน!FS83"")"),50)</f>
        <v>50</v>
      </c>
      <c r="J775" s="169">
        <v>50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IFERROR(__xludf.DUMMYFUNCTION("IMPORTRANGE(""https://docs.google.com/spreadsheets/d/1eHaY18a8A9IcSdp1K8H6x8fbOy06t2VsZHhMHf-1x7Y/edit?usp=sharing"",""แผน!FT83"")"),25)</f>
        <v>25</v>
      </c>
      <c r="J776" s="378">
        <v>25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372">
        <f ca="1">IFERROR(__xludf.DUMMYFUNCTION("IMPORTRANGE(""https://docs.google.com/spreadsheets/d/10OvvATaaLtwErnr3qtWFcTmtbfpFEt5Bsqel9sXx0uE/edit?usp=sharing"",""งานกองทุน!F83"")"),451448.98)</f>
        <v>451448.98</v>
      </c>
      <c r="K778" s="47">
        <f t="shared" ref="K778:K785" ca="1" si="467">IF(I778&gt;0,J778*100/I778,0)</f>
        <v>100.89279767945817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IFERROR(__xludf.DUMMYFUNCTION("IMPORTRANGE(""https://docs.google.com/spreadsheets/d/10OvvATaaLtwErnr3qtWFcTmtbfpFEt5Bsqel9sXx0uE/edit?usp=sharing"",""งานกองทุน!C83"")"),27)</f>
        <v>27</v>
      </c>
      <c r="J779" s="372">
        <f ca="1">IFERROR(__xludf.DUMMYFUNCTION("IMPORTRANGE(""https://docs.google.com/spreadsheets/d/10OvvATaaLtwErnr3qtWFcTmtbfpFEt5Bsqel9sXx0uE/edit?usp=sharing"",""งานกองทุน!E83"")"),26)</f>
        <v>26</v>
      </c>
      <c r="K779" s="47">
        <f t="shared" ca="1" si="467"/>
        <v>96.296296296296291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372">
        <f ca="1">IFERROR(__xludf.DUMMYFUNCTION("IMPORTRANGE(""https://docs.google.com/spreadsheets/d/10OvvATaaLtwErnr3qtWFcTmtbfpFEt5Bsqel9sXx0uE/edit?usp=sharing"",""งานกองทุน!K83"")"),78588.27)</f>
        <v>78588.27</v>
      </c>
      <c r="K780" s="47">
        <f t="shared" ca="1" si="467"/>
        <v>49.56646521135211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IFERROR(__xludf.DUMMYFUNCTION("IMPORTRANGE(""https://docs.google.com/spreadsheets/d/10OvvATaaLtwErnr3qtWFcTmtbfpFEt5Bsqel9sXx0uE/edit?usp=sharing"",""งานกองทุน!H83"")"),7)</f>
        <v>7</v>
      </c>
      <c r="J781" s="372">
        <f ca="1">IFERROR(__xludf.DUMMYFUNCTION("IMPORTRANGE(""https://docs.google.com/spreadsheets/d/10OvvATaaLtwErnr3qtWFcTmtbfpFEt5Bsqel9sXx0uE/edit?usp=sharing"",""งานกองทุน!J83"")"),6)</f>
        <v>6</v>
      </c>
      <c r="K781" s="47">
        <f t="shared" ca="1" si="467"/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IFERROR(__xludf.DUMMYFUNCTION("IMPORTRANGE(""https://docs.google.com/spreadsheets/d/10OvvATaaLtwErnr3qtWFcTmtbfpFEt5Bsqel9sXx0uE/edit?usp=sharing"",""งานกองทุน!N83"")"),0)</f>
        <v>0</v>
      </c>
      <c r="J782" s="37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t="shared" ca="1" si="467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IFERROR(__xludf.DUMMYFUNCTION("IMPORTRANGE(""https://docs.google.com/spreadsheets/d/10OvvATaaLtwErnr3qtWFcTmtbfpFEt5Bsqel9sXx0uE/edit?usp=sharing"",""งานกองทุน!M83"")"),0)</f>
        <v>0</v>
      </c>
      <c r="J783" s="37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t="shared" ca="1" si="467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IFERROR(__xludf.DUMMYFUNCTION("IMPORTRANGE(""https://docs.google.com/spreadsheets/d/10OvvATaaLtwErnr3qtWFcTmtbfpFEt5Bsqel9sXx0uE/edit?usp=sharing"",""งานกองทุน!S83"")"),252000)</f>
        <v>252000</v>
      </c>
      <c r="J784" s="372">
        <f ca="1">IFERROR(__xludf.DUMMYFUNCTION("IMPORTRANGE(""https://docs.google.com/spreadsheets/d/10OvvATaaLtwErnr3qtWFcTmtbfpFEt5Bsqel9sXx0uE/edit?usp=sharing"",""งานกองทุน!U83"")"),200000)</f>
        <v>200000</v>
      </c>
      <c r="K784" s="47">
        <f t="shared" ca="1" si="467"/>
        <v>79.365079365079367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IFERROR(__xludf.DUMMYFUNCTION("IMPORTRANGE(""https://docs.google.com/spreadsheets/d/10OvvATaaLtwErnr3qtWFcTmtbfpFEt5Bsqel9sXx0uE/edit?usp=sharing"",""งานกองทุน!R83"")"),9)</f>
        <v>9</v>
      </c>
      <c r="J785" s="205">
        <f ca="1">IFERROR(__xludf.DUMMYFUNCTION("IMPORTRANGE(""https://docs.google.com/spreadsheets/d/10OvvATaaLtwErnr3qtWFcTmtbfpFEt5Bsqel9sXx0uE/edit?usp=sharing"",""งานกองทุน!T83"")"),4)</f>
        <v>4</v>
      </c>
      <c r="K785" s="111">
        <f t="shared" ca="1" si="467"/>
        <v>44.444444444444443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FE9C6-C072-457B-80CF-15D96BC5D6D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329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1843930</v>
      </c>
      <c r="M18" s="35">
        <f t="shared" ca="1" si="0"/>
        <v>2022907</v>
      </c>
      <c r="N18" s="35">
        <f t="shared" ca="1" si="0"/>
        <v>1835261.5799999998</v>
      </c>
      <c r="O18" s="35">
        <f t="shared" ref="O18:O26" ca="1" si="1">IF(L18&gt;0,N18*100/L18,0)</f>
        <v>99.529894301844408</v>
      </c>
      <c r="P18" s="35">
        <f t="shared" ref="P18:P26" ca="1" si="2">IF(M18&gt;0,N18*100/M18,0)</f>
        <v>90.723971986848611</v>
      </c>
      <c r="Q18" s="910">
        <f t="shared" ref="Q18:S18" ca="1" si="3">Q19+Q20</f>
        <v>726208.99</v>
      </c>
      <c r="R18" s="911">
        <f t="shared" ca="1" si="3"/>
        <v>681463.91</v>
      </c>
      <c r="S18" s="911">
        <f t="shared" ca="1" si="3"/>
        <v>668463.91</v>
      </c>
      <c r="T18" s="911">
        <f t="shared" ref="T18:T26" ca="1" si="4">IF(Q18&gt;0,S18*100/Q18,0)</f>
        <v>92.048421212742085</v>
      </c>
      <c r="U18" s="911">
        <f t="shared" ref="U18:U26" ca="1" si="5">IF(R18&gt;0,S18*100/R18,0)</f>
        <v>98.092342116840783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586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1843930</v>
      </c>
      <c r="M20" s="39">
        <f t="shared" ca="1" si="6"/>
        <v>2022907</v>
      </c>
      <c r="N20" s="39">
        <f t="shared" ca="1" si="6"/>
        <v>1835261.5799999998</v>
      </c>
      <c r="O20" s="39">
        <f t="shared" ca="1" si="1"/>
        <v>99.529894301844408</v>
      </c>
      <c r="P20" s="39">
        <f t="shared" ca="1" si="2"/>
        <v>90.723971986848611</v>
      </c>
      <c r="Q20" s="587">
        <f t="shared" ca="1" si="7"/>
        <v>726208.99</v>
      </c>
      <c r="R20" s="39">
        <f t="shared" ca="1" si="7"/>
        <v>681463.91</v>
      </c>
      <c r="S20" s="39">
        <f t="shared" ca="1" si="7"/>
        <v>668463.91</v>
      </c>
      <c r="T20" s="39">
        <f t="shared" ca="1" si="4"/>
        <v>92.048421212742085</v>
      </c>
      <c r="U20" s="39">
        <f t="shared" ca="1" si="5"/>
        <v>98.092342116840783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1843930</v>
      </c>
      <c r="M21" s="47">
        <f t="shared" ca="1" si="8"/>
        <v>2022907</v>
      </c>
      <c r="N21" s="47">
        <f t="shared" ca="1" si="8"/>
        <v>1835261.5799999998</v>
      </c>
      <c r="O21" s="47">
        <f t="shared" ca="1" si="1"/>
        <v>99.529894301844408</v>
      </c>
      <c r="P21" s="47">
        <f t="shared" ca="1" si="2"/>
        <v>90.723971986848611</v>
      </c>
      <c r="Q21" s="588">
        <f t="shared" ref="Q21:S21" ca="1" si="9">Q22+Q23</f>
        <v>726208.99</v>
      </c>
      <c r="R21" s="47">
        <f t="shared" ca="1" si="9"/>
        <v>681463.91</v>
      </c>
      <c r="S21" s="47">
        <f t="shared" ca="1" si="9"/>
        <v>668463.91</v>
      </c>
      <c r="T21" s="47">
        <f t="shared" ca="1" si="4"/>
        <v>92.048421212742085</v>
      </c>
      <c r="U21" s="47">
        <f t="shared" ca="1" si="5"/>
        <v>98.092342116840783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590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1843930</v>
      </c>
      <c r="M23" s="47">
        <f t="shared" ca="1" si="12"/>
        <v>2022907</v>
      </c>
      <c r="N23" s="47">
        <f t="shared" ca="1" si="12"/>
        <v>1835261.5799999998</v>
      </c>
      <c r="O23" s="47">
        <f t="shared" ca="1" si="1"/>
        <v>99.529894301844408</v>
      </c>
      <c r="P23" s="47">
        <f t="shared" ca="1" si="2"/>
        <v>90.723971986848611</v>
      </c>
      <c r="Q23" s="588">
        <f t="shared" ca="1" si="11"/>
        <v>726208.99</v>
      </c>
      <c r="R23" s="47">
        <f t="shared" ca="1" si="11"/>
        <v>681463.91</v>
      </c>
      <c r="S23" s="47">
        <f t="shared" ca="1" si="11"/>
        <v>668463.91</v>
      </c>
      <c r="T23" s="47">
        <f t="shared" ca="1" si="4"/>
        <v>92.048421212742085</v>
      </c>
      <c r="U23" s="47">
        <f t="shared" ca="1" si="5"/>
        <v>98.092342116840783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0</v>
      </c>
      <c r="N24" s="47">
        <f t="shared" ca="1" si="13"/>
        <v>0</v>
      </c>
      <c r="O24" s="47">
        <f t="shared" ca="1" si="1"/>
        <v>0</v>
      </c>
      <c r="P24" s="47">
        <f t="shared" ca="1" si="2"/>
        <v>0</v>
      </c>
      <c r="Q24" s="588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590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0</v>
      </c>
      <c r="M26" s="47">
        <f t="shared" ca="1" si="17"/>
        <v>0</v>
      </c>
      <c r="N26" s="47">
        <f t="shared" ca="1" si="17"/>
        <v>0</v>
      </c>
      <c r="O26" s="47">
        <f t="shared" ca="1" si="1"/>
        <v>0</v>
      </c>
      <c r="P26" s="47">
        <f t="shared" ca="1" si="2"/>
        <v>0</v>
      </c>
      <c r="Q26" s="590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591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591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592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579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580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580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580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580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580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580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580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580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579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1823220</v>
      </c>
      <c r="M40" s="594">
        <f t="shared" ca="1" si="18"/>
        <v>2002197</v>
      </c>
      <c r="N40" s="594">
        <f t="shared" ca="1" si="18"/>
        <v>1814551.5799999998</v>
      </c>
      <c r="O40" s="594">
        <f ca="1">IF(L40&gt;0,N40*100/L40,0)</f>
        <v>99.524554359868787</v>
      </c>
      <c r="P40" s="594">
        <f ca="1">IF(M40&gt;0,N40*100/M40,0)</f>
        <v>90.628024115509092</v>
      </c>
      <c r="Q40" s="912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913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596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580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221000</v>
      </c>
      <c r="M44" s="79">
        <f t="shared" ca="1" si="19"/>
        <v>262027</v>
      </c>
      <c r="N44" s="79">
        <f t="shared" ca="1" si="19"/>
        <v>245027</v>
      </c>
      <c r="O44" s="79">
        <f t="shared" ref="O44:O52" ca="1" si="20">IF(L44&gt;0,N44*100/L44,0)</f>
        <v>110.87194570135746</v>
      </c>
      <c r="P44" s="79">
        <f t="shared" ref="P44:P52" ca="1" si="21">IF(M44&gt;0,N44*100/M44,0)</f>
        <v>93.5121189801051</v>
      </c>
      <c r="Q44" s="59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60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221000</v>
      </c>
      <c r="M46" s="83">
        <f t="shared" ca="1" si="25"/>
        <v>262027</v>
      </c>
      <c r="N46" s="83">
        <f t="shared" ca="1" si="25"/>
        <v>245027</v>
      </c>
      <c r="O46" s="83">
        <f t="shared" ca="1" si="20"/>
        <v>110.87194570135746</v>
      </c>
      <c r="P46" s="83">
        <f t="shared" ca="1" si="21"/>
        <v>93.5121189801051</v>
      </c>
      <c r="Q46" s="60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221000</v>
      </c>
      <c r="M47" s="47">
        <f t="shared" ca="1" si="27"/>
        <v>262027</v>
      </c>
      <c r="N47" s="47">
        <f t="shared" ca="1" si="27"/>
        <v>245027</v>
      </c>
      <c r="O47" s="47">
        <f t="shared" ca="1" si="20"/>
        <v>110.87194570135746</v>
      </c>
      <c r="P47" s="47">
        <f t="shared" ca="1" si="21"/>
        <v>93.5121189801051</v>
      </c>
      <c r="Q47" s="588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590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IFERROR(__xludf.DUMMYFUNCTION("IMPORTRANGE(""https://docs.google.com/spreadsheets/d/1-uDff_7J0KD5mKrp0Vvzr7lt3OU09vwQwhkpOPPYv2Y/edit?usp=sharing"",""งบพรบ!V84"")"),262027)</f>
        <v>262027</v>
      </c>
      <c r="N49" s="47">
        <f ca="1">IFERROR(__xludf.DUMMYFUNCTION("IMPORTRANGE(""https://docs.google.com/spreadsheets/d/1-uDff_7J0KD5mKrp0Vvzr7lt3OU09vwQwhkpOPPYv2Y/edit?usp=sharing"",""งบพรบ!Y84"")"),245027)</f>
        <v>245027</v>
      </c>
      <c r="O49" s="47">
        <f t="shared" ca="1" si="20"/>
        <v>110.87194570135746</v>
      </c>
      <c r="P49" s="47">
        <f t="shared" ca="1" si="21"/>
        <v>93.5121189801051</v>
      </c>
      <c r="Q49" s="588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588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590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t="shared" ca="1" si="20"/>
        <v>0</v>
      </c>
      <c r="P52" s="47">
        <f t="shared" ca="1" si="21"/>
        <v>0</v>
      </c>
      <c r="Q52" s="588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591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591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592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914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604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605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578900</v>
      </c>
      <c r="M59" s="106">
        <f t="shared" ca="1" si="31"/>
        <v>595400</v>
      </c>
      <c r="N59" s="106">
        <f t="shared" ca="1" si="31"/>
        <v>551231.65</v>
      </c>
      <c r="O59" s="106">
        <f t="shared" ref="O59:O67" ca="1" si="32">IF(L59&gt;0,N59*100/L59,0)</f>
        <v>95.220530316116779</v>
      </c>
      <c r="P59" s="106">
        <f t="shared" ref="P59:P67" ca="1" si="33">IF(M59&gt;0,N59*100/M59,0)</f>
        <v>92.581734968088682</v>
      </c>
      <c r="Q59" s="608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611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578900</v>
      </c>
      <c r="M61" s="109">
        <f t="shared" ca="1" si="37"/>
        <v>595400</v>
      </c>
      <c r="N61" s="109">
        <f t="shared" ca="1" si="37"/>
        <v>551231.65</v>
      </c>
      <c r="O61" s="109">
        <f t="shared" ca="1" si="32"/>
        <v>95.220530316116779</v>
      </c>
      <c r="P61" s="109">
        <f t="shared" ca="1" si="33"/>
        <v>92.581734968088682</v>
      </c>
      <c r="Q61" s="612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578900</v>
      </c>
      <c r="M62" s="47">
        <f t="shared" ca="1" si="39"/>
        <v>595400</v>
      </c>
      <c r="N62" s="47">
        <f t="shared" ca="1" si="39"/>
        <v>551231.65</v>
      </c>
      <c r="O62" s="47">
        <f t="shared" ca="1" si="32"/>
        <v>95.220530316116779</v>
      </c>
      <c r="P62" s="47">
        <f t="shared" ca="1" si="33"/>
        <v>92.581734968088682</v>
      </c>
      <c r="Q62" s="588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590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IFERROR(__xludf.DUMMYFUNCTION("IMPORTRANGE(""https://docs.google.com/spreadsheets/d/1-uDff_7J0KD5mKrp0Vvzr7lt3OU09vwQwhkpOPPYv2Y/edit?usp=sharing"",""งบพรบ!AH84"")"),595400)</f>
        <v>595400</v>
      </c>
      <c r="N64" s="47">
        <f ca="1">IFERROR(__xludf.DUMMYFUNCTION("IMPORTRANGE(""https://docs.google.com/spreadsheets/d/1-uDff_7J0KD5mKrp0Vvzr7lt3OU09vwQwhkpOPPYv2Y/edit?usp=sharing"",""งบพรบ!AJ84"")"),551231.65)</f>
        <v>551231.65</v>
      </c>
      <c r="O64" s="47">
        <f t="shared" ca="1" si="32"/>
        <v>95.220530316116779</v>
      </c>
      <c r="P64" s="47">
        <f t="shared" ca="1" si="33"/>
        <v>92.581734968088682</v>
      </c>
      <c r="Q64" s="588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0</v>
      </c>
      <c r="M65" s="47">
        <f t="shared" ca="1" si="41"/>
        <v>0</v>
      </c>
      <c r="N65" s="47">
        <f t="shared" ca="1" si="41"/>
        <v>0</v>
      </c>
      <c r="O65" s="47">
        <f t="shared" ca="1" si="32"/>
        <v>0</v>
      </c>
      <c r="P65" s="47">
        <f t="shared" ca="1" si="33"/>
        <v>0</v>
      </c>
      <c r="Q65" s="588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590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t="shared" ca="1" si="32"/>
        <v>0</v>
      </c>
      <c r="P67" s="111">
        <f t="shared" ca="1" si="33"/>
        <v>0</v>
      </c>
      <c r="Q67" s="613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915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614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615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615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617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590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588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588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590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t="shared" ca="1" si="46"/>
        <v>0</v>
      </c>
      <c r="P77" s="47">
        <f t="shared" ca="1" si="47"/>
        <v>0</v>
      </c>
      <c r="Q77" s="588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588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590">
        <v>0</v>
      </c>
      <c r="R79" s="49">
        <v>0</v>
      </c>
      <c r="S79" s="49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t="shared" ca="1" si="46"/>
        <v>0</v>
      </c>
      <c r="P80" s="47">
        <f t="shared" ca="1" si="47"/>
        <v>0</v>
      </c>
      <c r="Q80" s="588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619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619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619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IFERROR(__xludf.DUMMYFUNCTION("IMPORTRANGE(""https://docs.google.com/spreadsheets/d/1eHaY18a8A9IcSdp1K8H6x8fbOy06t2VsZHhMHf-1x7Y/edit?usp=sharing"",""แผน!H84"")"),0)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619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IFERROR(__xludf.DUMMYFUNCTION("IMPORTRANGE(""https://docs.google.com/spreadsheets/d/1eHaY18a8A9IcSdp1K8H6x8fbOy06t2VsZHhMHf-1x7Y/edit?usp=sharing"",""แผน!I84"")"),0)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619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IFERROR(__xludf.DUMMYFUNCTION("IMPORTRANGE(""https://docs.google.com/spreadsheets/d/1eHaY18a8A9IcSdp1K8H6x8fbOy06t2VsZHhMHf-1x7Y/edit?usp=sharing"",""แผน!F84"")"),0)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619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IFERROR(__xludf.DUMMYFUNCTION("IMPORTRANGE(""https://docs.google.com/spreadsheets/d/1eHaY18a8A9IcSdp1K8H6x8fbOy06t2VsZHhMHf-1x7Y/edit?usp=sharing"",""แผน!G84"")"),0)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619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IFERROR(__xludf.DUMMYFUNCTION("IMPORTRANGE(""https://docs.google.com/spreadsheets/d/1eHaY18a8A9IcSdp1K8H6x8fbOy06t2VsZHhMHf-1x7Y/edit?usp=sharing"",""แผน!D84"")"),0)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619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IFERROR(__xludf.DUMMYFUNCTION("IMPORTRANGE(""https://docs.google.com/spreadsheets/d/1eHaY18a8A9IcSdp1K8H6x8fbOy06t2VsZHhMHf-1x7Y/edit?usp=sharing"",""แผน!E84"")"),0)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619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IFERROR(__xludf.DUMMYFUNCTION("IMPORTRANGE(""https://docs.google.com/spreadsheets/d/1eHaY18a8A9IcSdp1K8H6x8fbOy06t2VsZHhMHf-1x7Y/edit?usp=sharing"",""แผน!J84"")"),0)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619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614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615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615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617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590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588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588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590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t="shared" ca="1" si="62"/>
        <v>0</v>
      </c>
      <c r="P99" s="47">
        <f t="shared" ca="1" si="63"/>
        <v>0</v>
      </c>
      <c r="Q99" s="588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588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590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t="shared" ca="1" si="62"/>
        <v>0</v>
      </c>
      <c r="P102" s="47">
        <f t="shared" ca="1" si="63"/>
        <v>0</v>
      </c>
      <c r="Q102" s="588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591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580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580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580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591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IFERROR(__xludf.DUMMYFUNCTION("IMPORTRANGE(""https://docs.google.com/spreadsheets/d/1eHaY18a8A9IcSdp1K8H6x8fbOy06t2VsZHhMHf-1x7Y/edit?usp=sharing"",""แผน!N84"")"),0)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591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IFERROR(__xludf.DUMMYFUNCTION("IMPORTRANGE(""https://docs.google.com/spreadsheets/d/1eHaY18a8A9IcSdp1K8H6x8fbOy06t2VsZHhMHf-1x7Y/edit?usp=sharing"",""แผน!O84"")"),0)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591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580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580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580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591"/>
      <c r="R113" s="46"/>
      <c r="S113" s="46"/>
      <c r="T113" s="137"/>
      <c r="U113" s="137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IFERROR(__xludf.DUMMYFUNCTION("IMPORTRANGE(""https://docs.google.com/spreadsheets/d/1eHaY18a8A9IcSdp1K8H6x8fbOy06t2VsZHhMHf-1x7Y/edit?usp=sharing"",""แผน!R84"")"),0)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591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614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15</v>
      </c>
      <c r="J116" s="128">
        <f t="shared" si="74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615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617">
        <f t="shared" ref="Q117:S117" ca="1" si="78">Q118+Q119</f>
        <v>191460</v>
      </c>
      <c r="R117" s="133">
        <f t="shared" ca="1" si="78"/>
        <v>186253.44</v>
      </c>
      <c r="S117" s="133">
        <f t="shared" ca="1" si="78"/>
        <v>173253.44</v>
      </c>
      <c r="T117" s="133">
        <f t="shared" ref="T117:T125" ca="1" si="79">IF(Q117&gt;0,S117*100/Q117,0)</f>
        <v>90.490671680768827</v>
      </c>
      <c r="U117" s="133">
        <f t="shared" ref="U117:U125" ca="1" si="80">IF(R117&gt;0,S117*100/R117,0)</f>
        <v>93.020263142522353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590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588">
        <f t="shared" ca="1" si="82"/>
        <v>191460</v>
      </c>
      <c r="R119" s="47">
        <f t="shared" ca="1" si="82"/>
        <v>186253.44</v>
      </c>
      <c r="S119" s="47">
        <f t="shared" ca="1" si="82"/>
        <v>173253.44</v>
      </c>
      <c r="T119" s="47">
        <f t="shared" ca="1" si="79"/>
        <v>90.490671680768827</v>
      </c>
      <c r="U119" s="47">
        <f t="shared" ca="1" si="80"/>
        <v>93.020263142522353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588">
        <f t="shared" ref="Q120:S120" ca="1" si="84">Q121+Q122</f>
        <v>191460</v>
      </c>
      <c r="R120" s="47">
        <f t="shared" ca="1" si="84"/>
        <v>186253.44</v>
      </c>
      <c r="S120" s="47">
        <f t="shared" ca="1" si="84"/>
        <v>173253.44</v>
      </c>
      <c r="T120" s="47">
        <f t="shared" ca="1" si="79"/>
        <v>90.490671680768827</v>
      </c>
      <c r="U120" s="47">
        <f t="shared" ca="1" si="80"/>
        <v>93.020263142522353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590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t="shared" ca="1" si="76"/>
        <v>0</v>
      </c>
      <c r="P122" s="47">
        <f t="shared" ca="1" si="77"/>
        <v>0</v>
      </c>
      <c r="Q122" s="588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IFERROR(__xludf.DUMMYFUNCTION("IMPORTRANGE(""https://docs.google.com/spreadsheets/d/1ItG2mGa2ceCfYo0BwxsXqNm01IGEUdYcSSLTEv9YCik/edit?usp=sharing"",""เบิกจ่ายกองทุน!V84"")"),186253.44)</f>
        <v>186253.44</v>
      </c>
      <c r="S122" s="47">
        <f ca="1">IFERROR(__xludf.DUMMYFUNCTION("IMPORTRANGE(""https://docs.google.com/spreadsheets/d/1ItG2mGa2ceCfYo0BwxsXqNm01IGEUdYcSSLTEv9YCik/edit?usp=sharing"",""เบิกจ่ายกองทุน!W84"")"),173253.44)</f>
        <v>173253.44</v>
      </c>
      <c r="T122" s="47">
        <f t="shared" ca="1" si="79"/>
        <v>90.490671680768827</v>
      </c>
      <c r="U122" s="47">
        <f t="shared" ca="1" si="80"/>
        <v>93.020263142522353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588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590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t="shared" ca="1" si="76"/>
        <v>0</v>
      </c>
      <c r="P125" s="47">
        <f t="shared" ca="1" si="77"/>
        <v>0</v>
      </c>
      <c r="Q125" s="588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591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IFERROR(__xludf.DUMMYFUNCTION("IMPORTRANGE(""https://docs.google.com/spreadsheets/d/1eHaY18a8A9IcSdp1K8H6x8fbOy06t2VsZHhMHf-1x7Y/edit?usp=sharing"",""แผน!FF84"")"),15)</f>
        <v>15</v>
      </c>
      <c r="J127" s="169">
        <v>15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591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IFERROR(__xludf.DUMMYFUNCTION("IMPORTRANGE(""https://docs.google.com/spreadsheets/d/1eHaY18a8A9IcSdp1K8H6x8fbOy06t2VsZHhMHf-1x7Y/edit?usp=sharing"",""แผน!FG84"")"),1)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591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IFERROR(__xludf.DUMMYFUNCTION("IMPORTRANGE(""https://docs.google.com/spreadsheets/d/1eHaY18a8A9IcSdp1K8H6x8fbOy06t2VsZHhMHf-1x7Y/edit?usp=sharing"",""แผน!FH84"")"),15)</f>
        <v>15</v>
      </c>
      <c r="J129" s="169">
        <v>15</v>
      </c>
      <c r="K129" s="47">
        <f t="shared" ca="1" si="87"/>
        <v>100</v>
      </c>
      <c r="L129" s="591"/>
      <c r="M129" s="46"/>
      <c r="N129" s="46"/>
      <c r="O129" s="46"/>
      <c r="P129" s="46"/>
      <c r="Q129" s="591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IFERROR(__xludf.DUMMYFUNCTION("IMPORTRANGE(""https://docs.google.com/spreadsheets/d/1eHaY18a8A9IcSdp1K8H6x8fbOy06t2VsZHhMHf-1x7Y/edit?usp=sharing"",""แผน!FI84"")"),1)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591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591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591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580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614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615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615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0</v>
      </c>
      <c r="J137" s="128">
        <f t="shared" si="90"/>
        <v>0</v>
      </c>
      <c r="K137" s="35">
        <f t="shared" ca="1" si="89"/>
        <v>0</v>
      </c>
      <c r="L137" s="615"/>
      <c r="M137" s="34"/>
      <c r="N137" s="34"/>
      <c r="O137" s="34"/>
      <c r="P137" s="34"/>
      <c r="Q137" s="615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0</v>
      </c>
      <c r="J138" s="128">
        <f t="shared" si="90"/>
        <v>0</v>
      </c>
      <c r="K138" s="35">
        <f t="shared" ca="1" si="89"/>
        <v>0</v>
      </c>
      <c r="L138" s="615"/>
      <c r="M138" s="34"/>
      <c r="N138" s="34"/>
      <c r="O138" s="34"/>
      <c r="P138" s="34"/>
      <c r="Q138" s="615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0</v>
      </c>
      <c r="M139" s="133">
        <f t="shared" ca="1" si="91"/>
        <v>0</v>
      </c>
      <c r="N139" s="133">
        <f t="shared" ca="1" si="91"/>
        <v>0</v>
      </c>
      <c r="O139" s="133">
        <f t="shared" ref="O139:O147" ca="1" si="92">IF(L139&gt;0,N139*100/L139,0)</f>
        <v>0</v>
      </c>
      <c r="P139" s="133">
        <f t="shared" ref="P139:P147" ca="1" si="93">IF(M139&gt;0,N139*100/M139,0)</f>
        <v>0</v>
      </c>
      <c r="Q139" s="617">
        <f t="shared" ref="Q139:S139" ca="1" si="94">Q140+Q141</f>
        <v>0</v>
      </c>
      <c r="R139" s="133">
        <f t="shared" ca="1" si="94"/>
        <v>0</v>
      </c>
      <c r="S139" s="133">
        <f t="shared" ca="1" si="94"/>
        <v>0</v>
      </c>
      <c r="T139" s="133">
        <f t="shared" ref="T139:T147" ca="1" si="95">IF(Q139&gt;0,S139*100/Q139,0)</f>
        <v>0</v>
      </c>
      <c r="U139" s="133">
        <f t="shared" ref="U139:U147" ca="1" si="96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590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0</v>
      </c>
      <c r="M141" s="47">
        <f t="shared" ca="1" si="97"/>
        <v>0</v>
      </c>
      <c r="N141" s="47">
        <f t="shared" ca="1" si="97"/>
        <v>0</v>
      </c>
      <c r="O141" s="47">
        <f t="shared" ca="1" si="92"/>
        <v>0</v>
      </c>
      <c r="P141" s="47">
        <f t="shared" ca="1" si="93"/>
        <v>0</v>
      </c>
      <c r="Q141" s="588">
        <f t="shared" ca="1" si="98"/>
        <v>0</v>
      </c>
      <c r="R141" s="47">
        <f t="shared" ca="1" si="98"/>
        <v>0</v>
      </c>
      <c r="S141" s="47">
        <f t="shared" ca="1" si="98"/>
        <v>0</v>
      </c>
      <c r="T141" s="47">
        <f t="shared" ca="1" si="95"/>
        <v>0</v>
      </c>
      <c r="U141" s="47">
        <f t="shared" ca="1" si="96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0</v>
      </c>
      <c r="M142" s="47">
        <f t="shared" ca="1" si="99"/>
        <v>0</v>
      </c>
      <c r="N142" s="47">
        <f t="shared" ca="1" si="99"/>
        <v>0</v>
      </c>
      <c r="O142" s="47">
        <f t="shared" ca="1" si="92"/>
        <v>0</v>
      </c>
      <c r="P142" s="47">
        <f t="shared" ca="1" si="93"/>
        <v>0</v>
      </c>
      <c r="Q142" s="588">
        <f t="shared" ref="Q142:S142" ca="1" si="100">Q143+Q144</f>
        <v>0</v>
      </c>
      <c r="R142" s="47">
        <f t="shared" ca="1" si="100"/>
        <v>0</v>
      </c>
      <c r="S142" s="47">
        <f t="shared" ca="1" si="100"/>
        <v>0</v>
      </c>
      <c r="T142" s="47">
        <f t="shared" ca="1" si="95"/>
        <v>0</v>
      </c>
      <c r="U142" s="47">
        <f t="shared" ca="1" si="96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590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t="shared" ca="1" si="92"/>
        <v>0</v>
      </c>
      <c r="P144" s="47">
        <f t="shared" ca="1" si="93"/>
        <v>0</v>
      </c>
      <c r="Q144" s="588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t="shared" ca="1" si="95"/>
        <v>0</v>
      </c>
      <c r="U144" s="47">
        <f t="shared" ca="1" si="96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588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590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t="shared" ca="1" si="92"/>
        <v>0</v>
      </c>
      <c r="P147" s="47">
        <f t="shared" ca="1" si="93"/>
        <v>0</v>
      </c>
      <c r="Q147" s="588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t="shared" ca="1" si="95"/>
        <v>0</v>
      </c>
      <c r="U147" s="47">
        <f t="shared" ca="1" si="96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591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591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IFERROR(__xludf.DUMMYFUNCTION("IMPORTRANGE(""https://docs.google.com/spreadsheets/d/1eHaY18a8A9IcSdp1K8H6x8fbOy06t2VsZHhMHf-1x7Y/edit?usp=sharing"",""แผน!U84"")"),0)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591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IFERROR(__xludf.DUMMYFUNCTION("IMPORTRANGE(""https://docs.google.com/spreadsheets/d/1eHaY18a8A9IcSdp1K8H6x8fbOy06t2VsZHhMHf-1x7Y/edit?usp=sharing"",""แผน!V84"")"),0)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591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IFERROR(__xludf.DUMMYFUNCTION("IMPORTRANGE(""https://docs.google.com/spreadsheets/d/1eHaY18a8A9IcSdp1K8H6x8fbOy06t2VsZHhMHf-1x7Y/edit?usp=sharing"",""แผน!W84"")"),0)</f>
        <v>0</v>
      </c>
      <c r="J152" s="169">
        <v>0</v>
      </c>
      <c r="K152" s="47">
        <f t="shared" ca="1" si="103"/>
        <v>0</v>
      </c>
      <c r="L152" s="591"/>
      <c r="M152" s="46"/>
      <c r="N152" s="46"/>
      <c r="O152" s="46"/>
      <c r="P152" s="46"/>
      <c r="Q152" s="591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IFERROR(__xludf.DUMMYFUNCTION("IMPORTRANGE(""https://docs.google.com/spreadsheets/d/1eHaY18a8A9IcSdp1K8H6x8fbOy06t2VsZHhMHf-1x7Y/edit?usp=sharing"",""แผน!X84"")"),0)</f>
        <v>0</v>
      </c>
      <c r="J153" s="169">
        <v>0</v>
      </c>
      <c r="K153" s="47">
        <f t="shared" ca="1" si="103"/>
        <v>0</v>
      </c>
      <c r="L153" s="591"/>
      <c r="M153" s="46"/>
      <c r="N153" s="46"/>
      <c r="O153" s="46"/>
      <c r="P153" s="46"/>
      <c r="Q153" s="591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IFERROR(__xludf.DUMMYFUNCTION("IMPORTRANGE(""https://docs.google.com/spreadsheets/d/1eHaY18a8A9IcSdp1K8H6x8fbOy06t2VsZHhMHf-1x7Y/edit?usp=sharing"",""แผน!Y84"")"),0)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591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614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615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617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590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588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588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590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t="shared" ca="1" si="106"/>
        <v>0</v>
      </c>
      <c r="P162" s="47">
        <f t="shared" ca="1" si="107"/>
        <v>0</v>
      </c>
      <c r="Q162" s="588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588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590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t="shared" ca="1" si="106"/>
        <v>0</v>
      </c>
      <c r="P165" s="47">
        <f t="shared" ca="1" si="107"/>
        <v>0</v>
      </c>
      <c r="Q165" s="588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591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IFERROR(__xludf.DUMMYFUNCTION("IMPORTRANGE(""https://docs.google.com/spreadsheets/d/1eHaY18a8A9IcSdp1K8H6x8fbOy06t2VsZHhMHf-1x7Y/edit?usp=sharing"",""แผน!Z84"")"),0)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591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IFERROR(__xludf.DUMMYFUNCTION("IMPORTRANGE(""https://docs.google.com/spreadsheets/d/1eHaY18a8A9IcSdp1K8H6x8fbOy06t2VsZHhMHf-1x7Y/edit?usp=sharing"",""แผน!Z84"")"),0)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591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IFERROR(__xludf.DUMMYFUNCTION("IMPORTRANGE(""https://docs.google.com/spreadsheets/d/1eHaY18a8A9IcSdp1K8H6x8fbOy06t2VsZHhMHf-1x7Y/edit?usp=sharing"",""แผน!Z84"")"),0)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592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916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631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7</v>
      </c>
      <c r="J172" s="222">
        <f t="shared" si="118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632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41020</v>
      </c>
      <c r="N173" s="133">
        <f t="shared" ca="1" si="119"/>
        <v>41020</v>
      </c>
      <c r="O173" s="133">
        <f t="shared" ref="O173:O181" ca="1" si="120">IF(L173&gt;0,N173*100/L173,0)</f>
        <v>209.39254721796834</v>
      </c>
      <c r="P173" s="133">
        <f t="shared" ref="P173:P181" ca="1" si="121">IF(M173&gt;0,N173*100/M173,0)</f>
        <v>100</v>
      </c>
      <c r="Q173" s="617">
        <f t="shared" ref="Q173:S173" ca="1" si="122">Q174+Q175</f>
        <v>0</v>
      </c>
      <c r="R173" s="133">
        <f t="shared" ca="1" si="122"/>
        <v>0</v>
      </c>
      <c r="S173" s="133">
        <f t="shared" ca="1" si="122"/>
        <v>0</v>
      </c>
      <c r="T173" s="133">
        <f t="shared" ref="T173:T181" ca="1" si="123">IF(Q173&gt;0,S173*100/Q173,0)</f>
        <v>0</v>
      </c>
      <c r="U173" s="133">
        <f t="shared" ref="U173:U181" ca="1" si="124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590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41020</v>
      </c>
      <c r="N175" s="47">
        <f t="shared" ca="1" si="125"/>
        <v>41020</v>
      </c>
      <c r="O175" s="47">
        <f t="shared" ca="1" si="120"/>
        <v>209.39254721796834</v>
      </c>
      <c r="P175" s="47">
        <f t="shared" ca="1" si="121"/>
        <v>100</v>
      </c>
      <c r="Q175" s="588">
        <f t="shared" ca="1" si="126"/>
        <v>0</v>
      </c>
      <c r="R175" s="47">
        <f t="shared" ca="1" si="126"/>
        <v>0</v>
      </c>
      <c r="S175" s="47">
        <f t="shared" ca="1" si="126"/>
        <v>0</v>
      </c>
      <c r="T175" s="47">
        <f t="shared" ca="1" si="123"/>
        <v>0</v>
      </c>
      <c r="U175" s="47">
        <f t="shared" ca="1" si="124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41020</v>
      </c>
      <c r="N176" s="47">
        <f t="shared" ca="1" si="127"/>
        <v>41020</v>
      </c>
      <c r="O176" s="47">
        <f t="shared" ca="1" si="120"/>
        <v>209.39254721796834</v>
      </c>
      <c r="P176" s="47">
        <f t="shared" ca="1" si="121"/>
        <v>100</v>
      </c>
      <c r="Q176" s="588">
        <f t="shared" ref="Q176:S176" ca="1" si="128">Q177+Q178</f>
        <v>0</v>
      </c>
      <c r="R176" s="47">
        <f t="shared" ca="1" si="128"/>
        <v>0</v>
      </c>
      <c r="S176" s="47">
        <f t="shared" ca="1" si="128"/>
        <v>0</v>
      </c>
      <c r="T176" s="47">
        <f t="shared" ca="1" si="123"/>
        <v>0</v>
      </c>
      <c r="U176" s="47">
        <f t="shared" ca="1" si="124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590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t="shared" ca="1" si="120"/>
        <v>209.39254721796834</v>
      </c>
      <c r="P178" s="47">
        <f t="shared" ca="1" si="121"/>
        <v>100</v>
      </c>
      <c r="Q178" s="588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t="shared" ca="1" si="123"/>
        <v>0</v>
      </c>
      <c r="U178" s="47">
        <f t="shared" ca="1" si="124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588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590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t="shared" ca="1" si="120"/>
        <v>0</v>
      </c>
      <c r="P181" s="47">
        <f t="shared" ca="1" si="121"/>
        <v>0</v>
      </c>
      <c r="Q181" s="588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591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IFERROR(__xludf.DUMMYFUNCTION("IMPORTRANGE(""https://docs.google.com/spreadsheets/d/1eHaY18a8A9IcSdp1K8H6x8fbOy06t2VsZHhMHf-1x7Y/edit?usp=sharing"",""แผน!AA84"")"),7)</f>
        <v>7</v>
      </c>
      <c r="J183" s="169">
        <v>7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591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591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632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142600</v>
      </c>
      <c r="M186" s="133">
        <f t="shared" ca="1" si="133"/>
        <v>144600</v>
      </c>
      <c r="N186" s="133">
        <f t="shared" ca="1" si="133"/>
        <v>139221.57</v>
      </c>
      <c r="O186" s="133">
        <f t="shared" ref="O186:O194" ca="1" si="134">IF(L186&gt;0,N186*100/L186,0)</f>
        <v>97.630834502103781</v>
      </c>
      <c r="P186" s="133">
        <f t="shared" ref="P186:P194" ca="1" si="135">IF(M186&gt;0,N186*100/M186,0)</f>
        <v>96.28047717842324</v>
      </c>
      <c r="Q186" s="617">
        <f t="shared" ref="Q186:S186" ca="1" si="136">Q187+Q188</f>
        <v>14000</v>
      </c>
      <c r="R186" s="133">
        <f t="shared" ca="1" si="136"/>
        <v>14000</v>
      </c>
      <c r="S186" s="133">
        <f t="shared" ca="1" si="136"/>
        <v>14000</v>
      </c>
      <c r="T186" s="133">
        <f t="shared" ref="T186:T194" ca="1" si="137">IF(Q186&gt;0,S186*100/Q186,0)</f>
        <v>100</v>
      </c>
      <c r="U186" s="133">
        <f t="shared" ref="U186:U194" ca="1" si="138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590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142600</v>
      </c>
      <c r="M188" s="47">
        <f t="shared" ca="1" si="139"/>
        <v>144600</v>
      </c>
      <c r="N188" s="47">
        <f t="shared" ca="1" si="139"/>
        <v>139221.57</v>
      </c>
      <c r="O188" s="47">
        <f t="shared" ca="1" si="134"/>
        <v>97.630834502103781</v>
      </c>
      <c r="P188" s="47">
        <f t="shared" ca="1" si="135"/>
        <v>96.28047717842324</v>
      </c>
      <c r="Q188" s="588">
        <f t="shared" ca="1" si="140"/>
        <v>14000</v>
      </c>
      <c r="R188" s="47">
        <f t="shared" ca="1" si="140"/>
        <v>14000</v>
      </c>
      <c r="S188" s="47">
        <f t="shared" ca="1" si="140"/>
        <v>14000</v>
      </c>
      <c r="T188" s="47">
        <f t="shared" ca="1" si="137"/>
        <v>100</v>
      </c>
      <c r="U188" s="47">
        <f t="shared" ca="1" si="138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142600</v>
      </c>
      <c r="M189" s="47">
        <f t="shared" ca="1" si="141"/>
        <v>144600</v>
      </c>
      <c r="N189" s="47">
        <f t="shared" ca="1" si="141"/>
        <v>139221.57</v>
      </c>
      <c r="O189" s="47">
        <f t="shared" ca="1" si="134"/>
        <v>97.630834502103781</v>
      </c>
      <c r="P189" s="47">
        <f t="shared" ca="1" si="135"/>
        <v>96.28047717842324</v>
      </c>
      <c r="Q189" s="588">
        <f t="shared" ref="Q189:S189" ca="1" si="142">Q190+Q191</f>
        <v>14000</v>
      </c>
      <c r="R189" s="47">
        <f t="shared" ca="1" si="142"/>
        <v>14000</v>
      </c>
      <c r="S189" s="47">
        <f t="shared" ca="1" si="142"/>
        <v>14000</v>
      </c>
      <c r="T189" s="47">
        <f t="shared" ca="1" si="137"/>
        <v>100</v>
      </c>
      <c r="U189" s="47">
        <f t="shared" ca="1" si="138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590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IFERROR(__xludf.DUMMYFUNCTION("IMPORTRANGE(""https://docs.google.com/spreadsheets/d/1-uDff_7J0KD5mKrp0Vvzr7lt3OU09vwQwhkpOPPYv2Y/edit?usp=sharing"",""งบพรบ!CZ84"")"),144600)</f>
        <v>144600</v>
      </c>
      <c r="N191" s="47">
        <f ca="1">IFERROR(__xludf.DUMMYFUNCTION("IMPORTRANGE(""https://docs.google.com/spreadsheets/d/1-uDff_7J0KD5mKrp0Vvzr7lt3OU09vwQwhkpOPPYv2Y/edit?usp=sharing"",""งบพรบ!DB84"")"),139221.57)</f>
        <v>139221.57</v>
      </c>
      <c r="O191" s="47">
        <f t="shared" ca="1" si="134"/>
        <v>97.630834502103781</v>
      </c>
      <c r="P191" s="47">
        <f t="shared" ca="1" si="135"/>
        <v>96.28047717842324</v>
      </c>
      <c r="Q191" s="588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t="shared" ca="1" si="137"/>
        <v>100</v>
      </c>
      <c r="U191" s="47">
        <f t="shared" ca="1" si="138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588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590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t="shared" ca="1" si="134"/>
        <v>0</v>
      </c>
      <c r="P194" s="47">
        <f t="shared" ca="1" si="135"/>
        <v>0</v>
      </c>
      <c r="Q194" s="588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634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591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591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IFERROR(__xludf.DUMMYFUNCTION("IMPORTRANGE(""https://docs.google.com/spreadsheets/d/1eHaY18a8A9IcSdp1K8H6x8fbOy06t2VsZHhMHf-1x7Y/edit?usp=sharing"",""แผน!AE84"")"),4)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591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177</v>
      </c>
      <c r="K199" s="46"/>
      <c r="L199" s="591"/>
      <c r="M199" s="46"/>
      <c r="N199" s="46"/>
      <c r="O199" s="46"/>
      <c r="P199" s="46"/>
      <c r="Q199" s="591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177</v>
      </c>
      <c r="K200" s="46"/>
      <c r="L200" s="591"/>
      <c r="M200" s="46"/>
      <c r="N200" s="46"/>
      <c r="O200" s="46"/>
      <c r="P200" s="46"/>
      <c r="Q200" s="591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591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1</v>
      </c>
      <c r="J202" s="236">
        <f t="shared" si="146"/>
        <v>1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634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5000</v>
      </c>
      <c r="M203" s="46"/>
      <c r="N203" s="133">
        <f>N204+N205+N206+N207</f>
        <v>5000</v>
      </c>
      <c r="O203" s="133">
        <f ca="1">IF(L203&gt;0,N203*100/L203,0)</f>
        <v>100</v>
      </c>
      <c r="P203" s="133">
        <f>IF(M203&gt;0,N203*100/M203,0)</f>
        <v>0</v>
      </c>
      <c r="Q203" s="617">
        <f ca="1">Q204+Q205+Q206+Q207</f>
        <v>14000</v>
      </c>
      <c r="R203" s="46"/>
      <c r="S203" s="133">
        <f>S204+S205+S206+S207</f>
        <v>14000</v>
      </c>
      <c r="T203" s="133">
        <f ca="1">IF(Q203&gt;0,S203*100/Q203,0)</f>
        <v>100</v>
      </c>
      <c r="U203" s="133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639">
        <v>1000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IFERROR(__xludf.DUMMYFUNCTION("IMPORTRANGE(""https://docs.google.com/spreadsheets/d/1eHaY18a8A9IcSdp1K8H6x8fbOy06t2VsZHhMHf-1x7Y/edit?usp=sharing"",""แผน!AH84"")"),0)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IFERROR(__xludf.DUMMYFUNCTION("IMPORTRANGE(""https://docs.google.com/spreadsheets/d/1eHaY18a8A9IcSdp1K8H6x8fbOy06t2VsZHhMHf-1x7Y/edit?usp=sharing"",""แผน!AI84"")"),0)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639">
        <v>14000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639">
        <v>4000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IFERROR(__xludf.DUMMYFUNCTION("IMPORTRANGE(""https://docs.google.com/spreadsheets/d/1eHaY18a8A9IcSdp1K8H6x8fbOy06t2VsZHhMHf-1x7Y/edit?usp=sharing"",""แผน!AK84"")"),1)</f>
        <v>1</v>
      </c>
      <c r="J209" s="169">
        <v>1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IFERROR(__xludf.DUMMYFUNCTION("IMPORTRANGE(""https://docs.google.com/spreadsheets/d/1eHaY18a8A9IcSdp1K8H6x8fbOy06t2VsZHhMHf-1x7Y/edit?usp=sharing"",""แผน!JX84"")"),1)</f>
        <v>1</v>
      </c>
      <c r="J211" s="169">
        <v>1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IFERROR(__xludf.DUMMYFUNCTION("IMPORTRANGE(""https://docs.google.com/spreadsheets/d/1eHaY18a8A9IcSdp1K8H6x8fbOy06t2VsZHhMHf-1x7Y/edit?usp=sharing"",""แผน!JY84"")"),0)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IFERROR(__xludf.DUMMYFUNCTION("IMPORTRANGE(""https://docs.google.com/spreadsheets/d/1eHaY18a8A9IcSdp1K8H6x8fbOy06t2VsZHhMHf-1x7Y/edit?usp=sharing"",""แผน!AM84"")"),0)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IFERROR(__xludf.DUMMYFUNCTION("IMPORTRANGE(""https://docs.google.com/spreadsheets/d/1eHaY18a8A9IcSdp1K8H6x8fbOy06t2VsZHhMHf-1x7Y/edit?usp=sharing"",""แผน!AN84"")"),0)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IFERROR(__xludf.DUMMYFUNCTION("IMPORTRANGE(""https://docs.google.com/spreadsheets/d/1eHaY18a8A9IcSdp1K8H6x8fbOy06t2VsZHhMHf-1x7Y/edit?usp=sharing"",""แผน!AO84"")"),0)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IFERROR(__xludf.DUMMYFUNCTION("IMPORTRANGE(""https://docs.google.com/spreadsheets/d/1eHaY18a8A9IcSdp1K8H6x8fbOy06t2VsZHhMHf-1x7Y/edit?usp=sharing"",""แผน!LY84"")"),0)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IFERROR(__xludf.DUMMYFUNCTION("IMPORTRANGE(""https://docs.google.com/spreadsheets/d/1eHaY18a8A9IcSdp1K8H6x8fbOy06t2VsZHhMHf-1x7Y/edit?usp=sharing"",""แผน!AP84"")"),0)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IFERROR(__xludf.DUMMYFUNCTION("IMPORTRANGE(""https://docs.google.com/spreadsheets/d/1eHaY18a8A9IcSdp1K8H6x8fbOy06t2VsZHhMHf-1x7Y/edit?usp=sharing"",""แผน!AP84"")"),0)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12000</v>
      </c>
      <c r="J221" s="236">
        <f t="shared" si="150"/>
        <v>12000</v>
      </c>
      <c r="K221" s="237">
        <f t="shared" ca="1" si="149"/>
        <v>100</v>
      </c>
      <c r="L221" s="634"/>
      <c r="M221" s="238"/>
      <c r="N221" s="238"/>
      <c r="O221" s="238"/>
      <c r="P221" s="238"/>
      <c r="Q221" s="634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591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IFERROR(__xludf.DUMMYFUNCTION("IMPORTRANGE(""https://docs.google.com/spreadsheets/d/1eHaY18a8A9IcSdp1K8H6x8fbOy06t2VsZHhMHf-1x7Y/edit?usp=sharing"",""แผน!AR84"")"),2500)</f>
        <v>2500</v>
      </c>
      <c r="M223" s="46"/>
      <c r="N223" s="639">
        <v>2500</v>
      </c>
      <c r="O223" s="137"/>
      <c r="P223" s="46"/>
      <c r="Q223" s="591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IFERROR(__xludf.DUMMYFUNCTION("IMPORTRANGE(""https://docs.google.com/spreadsheets/d/1eHaY18a8A9IcSdp1K8H6x8fbOy06t2VsZHhMHf-1x7Y/edit?usp=sharing"",""แผน!AS84"")"),2000)</f>
        <v>2000</v>
      </c>
      <c r="M224" s="46"/>
      <c r="N224" s="639">
        <v>2000</v>
      </c>
      <c r="O224" s="137"/>
      <c r="P224" s="46"/>
      <c r="Q224" s="591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IFERROR(__xludf.DUMMYFUNCTION("IMPORTRANGE(""https://docs.google.com/spreadsheets/d/1eHaY18a8A9IcSdp1K8H6x8fbOy06t2VsZHhMHf-1x7Y/edit?usp=sharing"",""แผน!AT84"")"),0)</f>
        <v>0</v>
      </c>
      <c r="M225" s="46"/>
      <c r="N225" s="639">
        <v>0</v>
      </c>
      <c r="O225" s="137"/>
      <c r="P225" s="46"/>
      <c r="Q225" s="591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619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619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IFERROR(__xludf.DUMMYFUNCTION("IMPORTRANGE(""https://docs.google.com/spreadsheets/d/1eHaY18a8A9IcSdp1K8H6x8fbOy06t2VsZHhMHf-1x7Y/edit?usp=sharing"",""แผน!AV84"")"),12000)</f>
        <v>12000</v>
      </c>
      <c r="J228" s="169">
        <v>12000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619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IFERROR(__xludf.DUMMYFUNCTION("IMPORTRANGE(""https://docs.google.com/spreadsheets/d/1eHaY18a8A9IcSdp1K8H6x8fbOy06t2VsZHhMHf-1x7Y/edit?usp=sharing"",""แผน!AV84"")"),12000)</f>
        <v>12000</v>
      </c>
      <c r="J229" s="169">
        <v>12000</v>
      </c>
      <c r="K229" s="154">
        <f t="shared" ca="1" si="151"/>
        <v>100</v>
      </c>
      <c r="L229" s="591"/>
      <c r="M229" s="46"/>
      <c r="N229" s="46"/>
      <c r="O229" s="46"/>
      <c r="P229" s="46"/>
      <c r="Q229" s="591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IFERROR(__xludf.DUMMYFUNCTION("IMPORTRANGE(""https://docs.google.com/spreadsheets/d/1eHaY18a8A9IcSdp1K8H6x8fbOy06t2VsZHhMHf-1x7Y/edit?usp=sharing"",""แผน!AU84"")"),0)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591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634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91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590">
        <v>0</v>
      </c>
      <c r="R233" s="49">
        <v>0</v>
      </c>
      <c r="S233" s="4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90">
        <v>0</v>
      </c>
      <c r="R234" s="49">
        <v>0</v>
      </c>
      <c r="S234" s="49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90">
        <v>0</v>
      </c>
      <c r="R235" s="49">
        <v>0</v>
      </c>
      <c r="S235" s="49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90">
        <v>0</v>
      </c>
      <c r="R236" s="49">
        <v>0</v>
      </c>
      <c r="S236" s="49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591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591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591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591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591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634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591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IFERROR(__xludf.DUMMYFUNCTION("IMPORTRANGE(""https://docs.google.com/spreadsheets/d/1eHaY18a8A9IcSdp1K8H6x8fbOy06t2VsZHhMHf-1x7Y/edit?usp=sharing"",""แผน!AX84"")"),0)</f>
        <v>0</v>
      </c>
      <c r="M244" s="46"/>
      <c r="N244" s="639">
        <v>0</v>
      </c>
      <c r="O244" s="46"/>
      <c r="P244" s="46"/>
      <c r="Q244" s="591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IFERROR(__xludf.DUMMYFUNCTION("IMPORTRANGE(""https://docs.google.com/spreadsheets/d/1eHaY18a8A9IcSdp1K8H6x8fbOy06t2VsZHhMHf-1x7Y/edit?usp=sharing"",""แผน!AY84"")"),0)</f>
        <v>0</v>
      </c>
      <c r="M245" s="46"/>
      <c r="N245" s="639">
        <v>0</v>
      </c>
      <c r="O245" s="46"/>
      <c r="P245" s="46"/>
      <c r="Q245" s="591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IFERROR(__xludf.DUMMYFUNCTION("IMPORTRANGE(""https://docs.google.com/spreadsheets/d/1eHaY18a8A9IcSdp1K8H6x8fbOy06t2VsZHhMHf-1x7Y/edit?usp=sharing"",""แผน!AZ84"")"),0)</f>
        <v>0</v>
      </c>
      <c r="M246" s="46"/>
      <c r="N246" s="639">
        <v>0</v>
      </c>
      <c r="O246" s="46"/>
      <c r="P246" s="46"/>
      <c r="Q246" s="591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IFERROR(__xludf.DUMMYFUNCTION("IMPORTRANGE(""https://docs.google.com/spreadsheets/d/1eHaY18a8A9IcSdp1K8H6x8fbOy06t2VsZHhMHf-1x7Y/edit?usp=sharing"",""แผน!BA84"")"),0)</f>
        <v>0</v>
      </c>
      <c r="M247" s="46"/>
      <c r="N247" s="639">
        <v>0</v>
      </c>
      <c r="O247" s="46"/>
      <c r="P247" s="46"/>
      <c r="Q247" s="591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591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IFERROR(__xludf.DUMMYFUNCTION("IMPORTRANGE(""https://docs.google.com/spreadsheets/d/1eHaY18a8A9IcSdp1K8H6x8fbOy06t2VsZHhMHf-1x7Y/edit?usp=sharing"",""แผน!BG84"")"),0)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591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591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591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591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634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591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IFERROR(__xludf.DUMMYFUNCTION("IMPORTRANGE(""https://docs.google.com/spreadsheets/d/1eHaY18a8A9IcSdp1K8H6x8fbOy06t2VsZHhMHf-1x7Y/edit?usp=sharing"",""แผน!BB84"")"),0)</f>
        <v>0</v>
      </c>
      <c r="M255" s="46"/>
      <c r="N255" s="639">
        <v>0</v>
      </c>
      <c r="O255" s="46"/>
      <c r="P255" s="46"/>
      <c r="Q255" s="591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IFERROR(__xludf.DUMMYFUNCTION("IMPORTRANGE(""https://docs.google.com/spreadsheets/d/1eHaY18a8A9IcSdp1K8H6x8fbOy06t2VsZHhMHf-1x7Y/edit?usp=sharing"",""แผน!BC84"")"),0)</f>
        <v>0</v>
      </c>
      <c r="M256" s="46"/>
      <c r="N256" s="639">
        <v>0</v>
      </c>
      <c r="O256" s="46"/>
      <c r="P256" s="46"/>
      <c r="Q256" s="591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IFERROR(__xludf.DUMMYFUNCTION("IMPORTRANGE(""https://docs.google.com/spreadsheets/d/1eHaY18a8A9IcSdp1K8H6x8fbOy06t2VsZHhMHf-1x7Y/edit?usp=sharing"",""แผน!BD84"")"),0)</f>
        <v>0</v>
      </c>
      <c r="M257" s="46"/>
      <c r="N257" s="639">
        <v>0</v>
      </c>
      <c r="O257" s="46"/>
      <c r="P257" s="46"/>
      <c r="Q257" s="591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IFERROR(__xludf.DUMMYFUNCTION("IMPORTRANGE(""https://docs.google.com/spreadsheets/d/1eHaY18a8A9IcSdp1K8H6x8fbOy06t2VsZHhMHf-1x7Y/edit?usp=sharing"",""แผน!BE84"")"),0)</f>
        <v>0</v>
      </c>
      <c r="M258" s="46"/>
      <c r="N258" s="639">
        <v>0</v>
      </c>
      <c r="O258" s="46"/>
      <c r="P258" s="46"/>
      <c r="Q258" s="591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591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IFERROR(__xludf.DUMMYFUNCTION("IMPORTRANGE(""https://docs.google.com/spreadsheets/d/1eHaY18a8A9IcSdp1K8H6x8fbOy06t2VsZHhMHf-1x7Y/edit?usp=sharing"",""แผน!BH84"")"),0)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591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591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591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591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31"/>
      <c r="R264" s="217"/>
      <c r="S264" s="217"/>
      <c r="T264" s="217"/>
      <c r="U264" s="217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20</v>
      </c>
      <c r="J265" s="686">
        <f t="shared" si="162"/>
        <v>20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32"/>
      <c r="R265" s="224"/>
      <c r="S265" s="224"/>
      <c r="T265" s="224"/>
      <c r="U265" s="224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25500</v>
      </c>
      <c r="N266" s="441">
        <f t="shared" ca="1" si="163"/>
        <v>25500</v>
      </c>
      <c r="O266" s="441">
        <f t="shared" ref="O266:O274" ca="1" si="164">IF(L266&gt;0,N266*100/L266,0)</f>
        <v>510</v>
      </c>
      <c r="P266" s="441">
        <f t="shared" ref="P266:P274" ca="1" si="165">IF(M266&gt;0,N266*100/M266,0)</f>
        <v>100</v>
      </c>
      <c r="Q266" s="617">
        <f t="shared" ref="Q266:S266" ca="1" si="166">Q267+Q268</f>
        <v>47880</v>
      </c>
      <c r="R266" s="133">
        <f t="shared" ca="1" si="166"/>
        <v>47880</v>
      </c>
      <c r="S266" s="133">
        <f t="shared" ca="1" si="166"/>
        <v>47880</v>
      </c>
      <c r="T266" s="133">
        <f t="shared" ref="T266:T274" ca="1" si="167">IF(Q266&gt;0,S266*100/Q266,0)</f>
        <v>100</v>
      </c>
      <c r="U266" s="133">
        <f t="shared" ref="U266:U274" ca="1" si="168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590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25500</v>
      </c>
      <c r="N268" s="352">
        <f t="shared" ca="1" si="169"/>
        <v>25500</v>
      </c>
      <c r="O268" s="352">
        <f t="shared" ca="1" si="164"/>
        <v>510</v>
      </c>
      <c r="P268" s="352">
        <f t="shared" ca="1" si="165"/>
        <v>100</v>
      </c>
      <c r="Q268" s="588">
        <f t="shared" ca="1" si="170"/>
        <v>47880</v>
      </c>
      <c r="R268" s="47">
        <f t="shared" ca="1" si="170"/>
        <v>47880</v>
      </c>
      <c r="S268" s="47">
        <f t="shared" ca="1" si="170"/>
        <v>47880</v>
      </c>
      <c r="T268" s="47">
        <f t="shared" ca="1" si="167"/>
        <v>100</v>
      </c>
      <c r="U268" s="47">
        <f t="shared" ca="1" si="168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25500</v>
      </c>
      <c r="N269" s="352">
        <f t="shared" ca="1" si="171"/>
        <v>25500</v>
      </c>
      <c r="O269" s="352">
        <f t="shared" ca="1" si="164"/>
        <v>510</v>
      </c>
      <c r="P269" s="352">
        <f t="shared" ca="1" si="165"/>
        <v>100</v>
      </c>
      <c r="Q269" s="588">
        <f t="shared" ref="Q269:S269" ca="1" si="172">Q270+Q271</f>
        <v>47880</v>
      </c>
      <c r="R269" s="47">
        <f t="shared" ca="1" si="172"/>
        <v>47880</v>
      </c>
      <c r="S269" s="47">
        <f t="shared" ca="1" si="172"/>
        <v>47880</v>
      </c>
      <c r="T269" s="47">
        <f t="shared" ca="1" si="167"/>
        <v>100</v>
      </c>
      <c r="U269" s="47">
        <f t="shared" ca="1" si="168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590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IFERROR(__xludf.DUMMYFUNCTION("IMPORTRANGE(""https://docs.google.com/spreadsheets/d/1-uDff_7J0KD5mKrp0Vvzr7lt3OU09vwQwhkpOPPYv2Y/edit?usp=sharing"",""งบพรบ!DE84"")"),5000)</f>
        <v>5000</v>
      </c>
      <c r="M271" s="352">
        <f ca="1">IFERROR(__xludf.DUMMYFUNCTION("IMPORTRANGE(""https://docs.google.com/spreadsheets/d/1-uDff_7J0KD5mKrp0Vvzr7lt3OU09vwQwhkpOPPYv2Y/edit?usp=sharing"",""งบพรบ!DJ84"")"),25500)</f>
        <v>25500</v>
      </c>
      <c r="N271" s="352">
        <f ca="1">IFERROR(__xludf.DUMMYFUNCTION("IMPORTRANGE(""https://docs.google.com/spreadsheets/d/1-uDff_7J0KD5mKrp0Vvzr7lt3OU09vwQwhkpOPPYv2Y/edit?usp=sharing"",""งบพรบ!DL84"")"),25500)</f>
        <v>25500</v>
      </c>
      <c r="O271" s="352">
        <f t="shared" ca="1" si="164"/>
        <v>510</v>
      </c>
      <c r="P271" s="352">
        <f t="shared" ca="1" si="165"/>
        <v>100</v>
      </c>
      <c r="Q271" s="588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IFERROR(__xludf.DUMMYFUNCTION("IMPORTRANGE(""https://docs.google.com/spreadsheets/d/1ItG2mGa2ceCfYo0BwxsXqNm01IGEUdYcSSLTEv9YCik/edit?usp=sharing"",""เบิกจ่ายกองทุน!AR84"")"),47880)</f>
        <v>47880</v>
      </c>
      <c r="T271" s="47">
        <f t="shared" ca="1" si="167"/>
        <v>100</v>
      </c>
      <c r="U271" s="47">
        <f t="shared" ca="1" si="168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588">
        <f t="shared" ref="Q272:S272" si="174">Q273+Q274</f>
        <v>0</v>
      </c>
      <c r="R272" s="47">
        <f t="shared" si="174"/>
        <v>0</v>
      </c>
      <c r="S272" s="47">
        <f t="shared" si="174"/>
        <v>0</v>
      </c>
      <c r="T272" s="47">
        <f t="shared" si="167"/>
        <v>0</v>
      </c>
      <c r="U272" s="47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590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IFERROR(__xludf.DUMMYFUNCTION("IMPORTRANGE(""https://docs.google.com/spreadsheets/d/1-uDff_7J0KD5mKrp0Vvzr7lt3OU09vwQwhkpOPPYv2Y/edit?usp=sharing"",""งบพรบ!DH84"")"),0)</f>
        <v>0</v>
      </c>
      <c r="M274" s="352">
        <f ca="1">IFERROR(__xludf.DUMMYFUNCTION("IMPORTRANGE(""https://docs.google.com/spreadsheets/d/1-uDff_7J0KD5mKrp0Vvzr7lt3OU09vwQwhkpOPPYv2Y/edit?usp=sharing"",""งบพรบ!DK84"")"),0)</f>
        <v>0</v>
      </c>
      <c r="N274" s="352">
        <f ca="1">IFERROR(__xludf.DUMMYFUNCTION("IMPORTRANGE(""https://docs.google.com/spreadsheets/d/1-uDff_7J0KD5mKrp0Vvzr7lt3OU09vwQwhkpOPPYv2Y/edit?usp=sharing"",""งบพรบ!DM84"")"),0)</f>
        <v>0</v>
      </c>
      <c r="O274" s="352">
        <f t="shared" ca="1" si="164"/>
        <v>0</v>
      </c>
      <c r="P274" s="352">
        <f t="shared" ca="1" si="165"/>
        <v>0</v>
      </c>
      <c r="Q274" s="588">
        <v>0</v>
      </c>
      <c r="R274" s="47">
        <v>0</v>
      </c>
      <c r="S274" s="47">
        <v>0</v>
      </c>
      <c r="T274" s="47">
        <f t="shared" si="167"/>
        <v>0</v>
      </c>
      <c r="U274" s="47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619"/>
      <c r="R275" s="137"/>
      <c r="S275" s="137"/>
      <c r="T275" s="137"/>
      <c r="U275" s="137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IFERROR(__xludf.DUMMYFUNCTION("IMPORTRANGE(""https://docs.google.com/spreadsheets/d/1eHaY18a8A9IcSdp1K8H6x8fbOy06t2VsZHhMHf-1x7Y/edit?usp=sharing"",""แผน!EC84"")"),20)</f>
        <v>20</v>
      </c>
      <c r="J276" s="178">
        <v>20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591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701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918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70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703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703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617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590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588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588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590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t="shared" ca="1" si="179"/>
        <v>0</v>
      </c>
      <c r="P287" s="47">
        <f t="shared" ca="1" si="180"/>
        <v>0</v>
      </c>
      <c r="Q287" s="588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588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590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t="shared" ca="1" si="179"/>
        <v>0</v>
      </c>
      <c r="P290" s="47">
        <f t="shared" ca="1" si="180"/>
        <v>0</v>
      </c>
      <c r="Q290" s="588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619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IFERROR(__xludf.DUMMYFUNCTION("IMPORTRANGE(""https://docs.google.com/spreadsheets/d/1eHaY18a8A9IcSdp1K8H6x8fbOy06t2VsZHhMHf-1x7Y/edit?usp=sharing"",""แผน!EE84"")"),0)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619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IFERROR(__xludf.DUMMYFUNCTION("IMPORTRANGE(""https://docs.google.com/spreadsheets/d/1eHaY18a8A9IcSdp1K8H6x8fbOy06t2VsZHhMHf-1x7Y/edit?usp=sharing"",""แผน!ED84"")"),0)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619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619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IFERROR(__xludf.DUMMYFUNCTION("IMPORTRANGE(""https://docs.google.com/spreadsheets/d/1eHaY18a8A9IcSdp1K8H6x8fbOy06t2VsZHhMHf-1x7Y/edit?usp=sharing"",""แผน!ED84"")"),0)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619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IFERROR(__xludf.DUMMYFUNCTION("IMPORTRANGE(""https://docs.google.com/spreadsheets/d/1eHaY18a8A9IcSdp1K8H6x8fbOy06t2VsZHhMHf-1x7Y/edit?usp=sharing"",""แผน!ED84"")"),0)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619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580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580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579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919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707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20</v>
      </c>
      <c r="J302" s="321">
        <f t="shared" si="192"/>
        <v>20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708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617">
        <f t="shared" ref="Q303:S303" ca="1" si="196">Q304+Q305</f>
        <v>194611.99</v>
      </c>
      <c r="R303" s="133">
        <f t="shared" ca="1" si="196"/>
        <v>194612</v>
      </c>
      <c r="S303" s="133">
        <f t="shared" ca="1" si="196"/>
        <v>194612</v>
      </c>
      <c r="T303" s="133">
        <f t="shared" ref="T303:T311" ca="1" si="197">IF(Q303&gt;0,S303*100/Q303,0)</f>
        <v>100.00000513842956</v>
      </c>
      <c r="U303" s="133">
        <f t="shared" ref="U303:U311" ca="1" si="198">IF(R303&gt;0,S303*100/R303,0)</f>
        <v>100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590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588">
        <f t="shared" ca="1" si="200"/>
        <v>194611.99</v>
      </c>
      <c r="R305" s="47">
        <f t="shared" ca="1" si="200"/>
        <v>194612</v>
      </c>
      <c r="S305" s="47">
        <f t="shared" ca="1" si="200"/>
        <v>194612</v>
      </c>
      <c r="T305" s="47">
        <f t="shared" ca="1" si="197"/>
        <v>100.00000513842956</v>
      </c>
      <c r="U305" s="47">
        <f t="shared" ca="1" si="198"/>
        <v>100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588">
        <f t="shared" ref="Q306:S306" ca="1" si="202">Q307+Q308</f>
        <v>194611.99</v>
      </c>
      <c r="R306" s="47">
        <f t="shared" ca="1" si="202"/>
        <v>194612</v>
      </c>
      <c r="S306" s="47">
        <f t="shared" ca="1" si="202"/>
        <v>194612</v>
      </c>
      <c r="T306" s="47">
        <f t="shared" ca="1" si="197"/>
        <v>100.00000513842956</v>
      </c>
      <c r="U306" s="47">
        <f t="shared" ca="1" si="198"/>
        <v>100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590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t="shared" ca="1" si="194"/>
        <v>0</v>
      </c>
      <c r="P308" s="47">
        <f t="shared" ca="1" si="195"/>
        <v>0</v>
      </c>
      <c r="Q308" s="588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IFERROR(__xludf.DUMMYFUNCTION("IMPORTRANGE(""https://docs.google.com/spreadsheets/d/1ItG2mGa2ceCfYo0BwxsXqNm01IGEUdYcSSLTEv9YCik/edit?usp=sharing"",""เบิกจ่ายกองทุน!BD84"")"),194612)</f>
        <v>194612</v>
      </c>
      <c r="T308" s="47">
        <f t="shared" ca="1" si="197"/>
        <v>100.00000513842956</v>
      </c>
      <c r="U308" s="47">
        <f t="shared" ca="1" si="198"/>
        <v>100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588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590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t="shared" ca="1" si="194"/>
        <v>0</v>
      </c>
      <c r="P311" s="47">
        <f t="shared" ca="1" si="195"/>
        <v>0</v>
      </c>
      <c r="Q311" s="588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591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580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IFERROR(__xludf.DUMMYFUNCTION("IMPORTRANGE(""https://docs.google.com/spreadsheets/d/1eHaY18a8A9IcSdp1K8H6x8fbOy06t2VsZHhMHf-1x7Y/edit?usp=sharing"",""แผน!EF84"")"),20)</f>
        <v>20</v>
      </c>
      <c r="J314" s="169">
        <v>20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591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580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580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580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707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708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617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590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588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588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590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t="shared" ca="1" si="207"/>
        <v>0</v>
      </c>
      <c r="P325" s="47">
        <f t="shared" ca="1" si="208"/>
        <v>0</v>
      </c>
      <c r="Q325" s="588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588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590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t="shared" ca="1" si="207"/>
        <v>0</v>
      </c>
      <c r="P328" s="47">
        <f t="shared" ca="1" si="208"/>
        <v>0</v>
      </c>
      <c r="Q328" s="588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591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IFERROR(__xludf.DUMMYFUNCTION("IMPORTRANGE(""https://docs.google.com/spreadsheets/d/1eHaY18a8A9IcSdp1K8H6x8fbOy06t2VsZHhMHf-1x7Y/edit?usp=sharing"",""แผน!EJ84"")"),0)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591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707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IFERROR(__xludf.DUMMYFUNCTION("IMPORTRANGE(""https://docs.google.com/spreadsheets/d/1eHaY18a8A9IcSdp1K8H6x8fbOy06t2VsZHhMHf-1x7Y/edit?usp=sharing"",""แผน!EK84"")"),200)</f>
        <v>200</v>
      </c>
      <c r="J332" s="718">
        <f ca="1">J344+J347+J348+J349+J353+J354</f>
        <v>960</v>
      </c>
      <c r="K332" s="719">
        <f ca="1">IF(I332&gt;0,J332*100/I332,0)</f>
        <v>480</v>
      </c>
      <c r="L332" s="708"/>
      <c r="M332" s="323"/>
      <c r="N332" s="323"/>
      <c r="O332" s="323"/>
      <c r="P332" s="323"/>
      <c r="Q332" s="708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172000</v>
      </c>
      <c r="M333" s="133">
        <f t="shared" ca="1" si="218"/>
        <v>172000</v>
      </c>
      <c r="N333" s="133">
        <f t="shared" ca="1" si="218"/>
        <v>134657.12</v>
      </c>
      <c r="O333" s="133">
        <f t="shared" ref="O333:O341" ca="1" si="219">IF(L333&gt;0,N333*100/L333,0)</f>
        <v>78.289023255813959</v>
      </c>
      <c r="P333" s="133">
        <f t="shared" ref="P333:P341" ca="1" si="220">IF(M333&gt;0,N333*100/M333,0)</f>
        <v>78.289023255813959</v>
      </c>
      <c r="Q333" s="617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590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172000</v>
      </c>
      <c r="M335" s="47">
        <f t="shared" ca="1" si="224"/>
        <v>172000</v>
      </c>
      <c r="N335" s="47">
        <f t="shared" ca="1" si="224"/>
        <v>134657.12</v>
      </c>
      <c r="O335" s="47">
        <f t="shared" ca="1" si="219"/>
        <v>78.289023255813959</v>
      </c>
      <c r="P335" s="47">
        <f t="shared" ca="1" si="220"/>
        <v>78.289023255813959</v>
      </c>
      <c r="Q335" s="588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172000</v>
      </c>
      <c r="M336" s="47">
        <f t="shared" ca="1" si="226"/>
        <v>172000</v>
      </c>
      <c r="N336" s="47">
        <f t="shared" ca="1" si="226"/>
        <v>134657.12</v>
      </c>
      <c r="O336" s="47">
        <f t="shared" ca="1" si="219"/>
        <v>78.289023255813959</v>
      </c>
      <c r="P336" s="47">
        <f t="shared" ca="1" si="220"/>
        <v>78.289023255813959</v>
      </c>
      <c r="Q336" s="588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590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IFERROR(__xludf.DUMMYFUNCTION("IMPORTRANGE(""https://docs.google.com/spreadsheets/d/1-uDff_7J0KD5mKrp0Vvzr7lt3OU09vwQwhkpOPPYv2Y/edit?usp=sharing"",""งบพรบ!EX84"")"),172000)</f>
        <v>172000</v>
      </c>
      <c r="N338" s="47">
        <f ca="1">IFERROR(__xludf.DUMMYFUNCTION("IMPORTRANGE(""https://docs.google.com/spreadsheets/d/1-uDff_7J0KD5mKrp0Vvzr7lt3OU09vwQwhkpOPPYv2Y/edit?usp=sharing"",""งบพรบ!EZ84"")"),134657.12)</f>
        <v>134657.12</v>
      </c>
      <c r="O338" s="47">
        <f t="shared" ca="1" si="219"/>
        <v>78.289023255813959</v>
      </c>
      <c r="P338" s="47">
        <f t="shared" ca="1" si="220"/>
        <v>78.289023255813959</v>
      </c>
      <c r="Q338" s="588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588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590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t="shared" ca="1" si="219"/>
        <v>0</v>
      </c>
      <c r="P341" s="47">
        <f t="shared" ca="1" si="220"/>
        <v>0</v>
      </c>
      <c r="Q341" s="588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591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164</v>
      </c>
      <c r="K343" s="727">
        <v>0</v>
      </c>
      <c r="L343" s="634"/>
      <c r="M343" s="238"/>
      <c r="N343" s="238"/>
      <c r="O343" s="238"/>
      <c r="P343" s="238"/>
      <c r="Q343" s="634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>IF(I344&gt;0,J344*100/I344,0)</f>
        <v>0</v>
      </c>
      <c r="L344" s="591"/>
      <c r="M344" s="46"/>
      <c r="N344" s="46"/>
      <c r="O344" s="46"/>
      <c r="P344" s="46"/>
      <c r="Q344" s="591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591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IFERROR(__xludf.DUMMYFUNCTION("IMPORTRANGE(""https://docs.google.com/spreadsheets/d/1eHaY18a8A9IcSdp1K8H6x8fbOy06t2VsZHhMHf-1x7Y/edit?usp=sharing"",""แผน!EL84"")"),2)</f>
        <v>2</v>
      </c>
      <c r="J346" s="372">
        <f ca="1">IFERROR(__xludf.DUMMYFUNCTION("IMPORTRANGE(""https://docs.google.com/spreadsheets/d/1awYsYK3VOup2i3Pq_Yjnu8DRu_mYwSBnCR2QPthd0rU/edit?usp=sharing"",""ศูนย์รวม!E84"")"),1)</f>
        <v>1</v>
      </c>
      <c r="K346" s="47">
        <f ca="1">IF(I346&gt;0,J346*100/I346,0)</f>
        <v>50</v>
      </c>
      <c r="L346" s="591"/>
      <c r="M346" s="46"/>
      <c r="N346" s="46"/>
      <c r="O346" s="46"/>
      <c r="P346" s="46"/>
      <c r="Q346" s="591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591"/>
      <c r="M347" s="46"/>
      <c r="N347" s="46"/>
      <c r="O347" s="46"/>
      <c r="P347" s="46"/>
      <c r="Q347" s="591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591"/>
      <c r="M348" s="46"/>
      <c r="N348" s="46"/>
      <c r="O348" s="46"/>
      <c r="P348" s="46"/>
      <c r="Q348" s="591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591"/>
      <c r="M349" s="46"/>
      <c r="N349" s="46"/>
      <c r="O349" s="46"/>
      <c r="P349" s="46"/>
      <c r="Q349" s="591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591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796</v>
      </c>
      <c r="K351" s="237">
        <v>0</v>
      </c>
      <c r="L351" s="634"/>
      <c r="M351" s="238"/>
      <c r="N351" s="238"/>
      <c r="O351" s="238"/>
      <c r="P351" s="238"/>
      <c r="Q351" s="634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IFERROR(__xludf.DUMMYFUNCTION("IMPORTRANGE(""https://docs.google.com/spreadsheets/d/1awYsYK3VOup2i3Pq_Yjnu8DRu_mYwSBnCR2QPthd0rU/edit?usp=sharing"",""โฉนดM3!G84"")"),0)</f>
        <v>0</v>
      </c>
      <c r="K352" s="46"/>
      <c r="L352" s="591"/>
      <c r="M352" s="46"/>
      <c r="N352" s="46"/>
      <c r="O352" s="46"/>
      <c r="P352" s="46"/>
      <c r="Q352" s="591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IFERROR(__xludf.DUMMYFUNCTION("IMPORTRANGE(""https://docs.google.com/spreadsheets/d/1awYsYK3VOup2i3Pq_Yjnu8DRu_mYwSBnCR2QPthd0rU/edit?usp=sharing"",""โฉนดM3!H84"")"),552)</f>
        <v>552</v>
      </c>
      <c r="K353" s="46"/>
      <c r="L353" s="591"/>
      <c r="M353" s="46"/>
      <c r="N353" s="46"/>
      <c r="O353" s="46"/>
      <c r="P353" s="46"/>
      <c r="Q353" s="591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IFERROR(__xludf.DUMMYFUNCTION("IMPORTRANGE(""https://docs.google.com/spreadsheets/d/1awYsYK3VOup2i3Pq_Yjnu8DRu_mYwSBnCR2QPthd0rU/edit?usp=sharing"",""โฉนดM3!I84"")"),244)</f>
        <v>244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708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684130</v>
      </c>
      <c r="M356" s="133">
        <f t="shared" ca="1" si="230"/>
        <v>761650</v>
      </c>
      <c r="N356" s="133">
        <f t="shared" ca="1" si="230"/>
        <v>677894.24</v>
      </c>
      <c r="O356" s="133">
        <f t="shared" ref="O356:O364" ca="1" si="231">IF(L356&gt;0,N356*100/L356,0)</f>
        <v>99.088512417230646</v>
      </c>
      <c r="P356" s="133">
        <f t="shared" ref="P356:P364" ca="1" si="232">IF(M356&gt;0,N356*100/M356,0)</f>
        <v>89.003379505021996</v>
      </c>
      <c r="Q356" s="617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590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684130</v>
      </c>
      <c r="M358" s="47">
        <f t="shared" ca="1" si="236"/>
        <v>761650</v>
      </c>
      <c r="N358" s="47">
        <f t="shared" ca="1" si="236"/>
        <v>677894.24</v>
      </c>
      <c r="O358" s="47">
        <f t="shared" ca="1" si="231"/>
        <v>99.088512417230646</v>
      </c>
      <c r="P358" s="47">
        <f t="shared" ca="1" si="232"/>
        <v>89.003379505021996</v>
      </c>
      <c r="Q358" s="588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684130</v>
      </c>
      <c r="M359" s="47">
        <f t="shared" ca="1" si="238"/>
        <v>761650</v>
      </c>
      <c r="N359" s="47">
        <f t="shared" ca="1" si="238"/>
        <v>677894.24</v>
      </c>
      <c r="O359" s="47">
        <f t="shared" ca="1" si="231"/>
        <v>99.088512417230646</v>
      </c>
      <c r="P359" s="47">
        <f t="shared" ca="1" si="232"/>
        <v>89.003379505021996</v>
      </c>
      <c r="Q359" s="588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590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IFERROR(__xludf.DUMMYFUNCTION("IMPORTRANGE(""https://docs.google.com/spreadsheets/d/1-uDff_7J0KD5mKrp0Vvzr7lt3OU09vwQwhkpOPPYv2Y/edit?usp=sharing"",""งบพรบ!FH84"")"),761650)</f>
        <v>761650</v>
      </c>
      <c r="N361" s="47">
        <f ca="1">IFERROR(__xludf.DUMMYFUNCTION("IMPORTRANGE(""https://docs.google.com/spreadsheets/d/1-uDff_7J0KD5mKrp0Vvzr7lt3OU09vwQwhkpOPPYv2Y/edit?usp=sharing"",""งบพรบ!FJ84"")"),677894.24)</f>
        <v>677894.24</v>
      </c>
      <c r="O361" s="47">
        <f t="shared" ca="1" si="231"/>
        <v>99.088512417230646</v>
      </c>
      <c r="P361" s="47">
        <f t="shared" ca="1" si="232"/>
        <v>89.003379505021996</v>
      </c>
      <c r="Q361" s="588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588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590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t="shared" ca="1" si="231"/>
        <v>0</v>
      </c>
      <c r="P364" s="47">
        <f t="shared" ca="1" si="232"/>
        <v>0</v>
      </c>
      <c r="Q364" s="588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89</v>
      </c>
      <c r="J365" s="236">
        <f t="shared" ca="1" si="242"/>
        <v>144</v>
      </c>
      <c r="K365" s="237">
        <f ca="1">IF(I365&gt;0,J365*100/I365,0)</f>
        <v>161.79775280898878</v>
      </c>
      <c r="L365" s="634"/>
      <c r="M365" s="238"/>
      <c r="N365" s="238"/>
      <c r="O365" s="238"/>
      <c r="P365" s="238"/>
      <c r="Q365" s="634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619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IFERROR(__xludf.DUMMYFUNCTION("IMPORTRANGE(""https://docs.google.com/spreadsheets/d/1tdoBKaGub7dwA3U6UFTqxio9LNnvDCQjHKmttSEBsFQ/edit?usp=sharing"",""จัดที่ดิน!AB84"")"),74)</f>
        <v>74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619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IFERROR(__xludf.DUMMYFUNCTION("IMPORTRANGE(""https://docs.google.com/spreadsheets/d/1eHaY18a8A9IcSdp1K8H6x8fbOy06t2VsZHhMHf-1x7Y/edit?usp=sharing"",""แผน!EW84"")"),470)</f>
        <v>470</v>
      </c>
      <c r="J368" s="729">
        <f ca="1">IFERROR(__xludf.DUMMYFUNCTION("IMPORTRANGE(""https://docs.google.com/spreadsheets/d/1tdoBKaGub7dwA3U6UFTqxio9LNnvDCQjHKmttSEBsFQ/edit?usp=sharing"",""จัดที่ดิน!AC84"")"),550.4)</f>
        <v>550.4</v>
      </c>
      <c r="K368" s="47">
        <f t="shared" ca="1" si="243"/>
        <v>117.1063829787234</v>
      </c>
      <c r="L368" s="619"/>
      <c r="M368" s="137"/>
      <c r="N368" s="137"/>
      <c r="O368" s="137"/>
      <c r="P368" s="137"/>
      <c r="Q368" s="619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IFERROR(__xludf.DUMMYFUNCTION("IMPORTRANGE(""https://docs.google.com/spreadsheets/d/1eHaY18a8A9IcSdp1K8H6x8fbOy06t2VsZHhMHf-1x7Y/edit?usp=sharing"",""แผน!EX84"")"),89)</f>
        <v>89</v>
      </c>
      <c r="J369" s="372">
        <f ca="1">IFERROR(__xludf.DUMMYFUNCTION("IMPORTRANGE(""https://docs.google.com/spreadsheets/d/1tdoBKaGub7dwA3U6UFTqxio9LNnvDCQjHKmttSEBsFQ/edit?usp=sharing"",""จัดที่ดิน!AD84"")"),148)</f>
        <v>148</v>
      </c>
      <c r="K369" s="47">
        <f t="shared" ca="1" si="243"/>
        <v>166.29213483146069</v>
      </c>
      <c r="L369" s="619"/>
      <c r="M369" s="137"/>
      <c r="N369" s="137"/>
      <c r="O369" s="137"/>
      <c r="P369" s="137"/>
      <c r="Q369" s="619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IFERROR(__xludf.DUMMYFUNCTION("IMPORTRANGE(""https://docs.google.com/spreadsheets/d/1tdoBKaGub7dwA3U6UFTqxio9LNnvDCQjHKmttSEBsFQ/edit?usp=sharing"",""จัดที่ดิน!AE84"")"),995.18)</f>
        <v>995.18</v>
      </c>
      <c r="K370" s="47">
        <f t="shared" si="243"/>
        <v>0</v>
      </c>
      <c r="L370" s="619"/>
      <c r="M370" s="137"/>
      <c r="N370" s="137"/>
      <c r="O370" s="137"/>
      <c r="P370" s="137"/>
      <c r="Q370" s="619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IFERROR(__xludf.DUMMYFUNCTION("IMPORTRANGE(""https://docs.google.com/spreadsheets/d/1eHaY18a8A9IcSdp1K8H6x8fbOy06t2VsZHhMHf-1x7Y/edit?usp=sharing"",""แผน!EY84"")"),89)</f>
        <v>89</v>
      </c>
      <c r="J371" s="372">
        <f ca="1">IFERROR(__xludf.DUMMYFUNCTION("IMPORTRANGE(""https://docs.google.com/spreadsheets/d/1tdoBKaGub7dwA3U6UFTqxio9LNnvDCQjHKmttSEBsFQ/edit?usp=sharing"",""จัดที่ดิน!AF84"")"),144)</f>
        <v>144</v>
      </c>
      <c r="K371" s="47">
        <f t="shared" ca="1" si="243"/>
        <v>161.79775280898878</v>
      </c>
      <c r="L371" s="619"/>
      <c r="M371" s="137"/>
      <c r="N371" s="137"/>
      <c r="O371" s="137"/>
      <c r="P371" s="137"/>
      <c r="Q371" s="619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IFERROR(__xludf.DUMMYFUNCTION("IMPORTRANGE(""https://docs.google.com/spreadsheets/d/1tdoBKaGub7dwA3U6UFTqxio9LNnvDCQjHKmttSEBsFQ/edit?usp=sharing"",""จัดที่ดิน!AG84"")"),987.579999999999)</f>
        <v>987.57999999999902</v>
      </c>
      <c r="K372" s="47">
        <f t="shared" si="243"/>
        <v>0</v>
      </c>
      <c r="L372" s="619"/>
      <c r="M372" s="137"/>
      <c r="N372" s="137"/>
      <c r="O372" s="137"/>
      <c r="P372" s="137"/>
      <c r="Q372" s="619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592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150</v>
      </c>
      <c r="J374" s="737">
        <f t="shared" ca="1" si="244"/>
        <v>176</v>
      </c>
      <c r="K374" s="738">
        <f ca="1">IF(I374&gt;0,J374*100/I374,0)</f>
        <v>117.33333333333333</v>
      </c>
      <c r="L374" s="708"/>
      <c r="M374" s="323"/>
      <c r="N374" s="323"/>
      <c r="O374" s="323"/>
      <c r="P374" s="323"/>
      <c r="Q374" s="708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0</v>
      </c>
      <c r="M375" s="133">
        <f t="shared" ca="1" si="245"/>
        <v>0</v>
      </c>
      <c r="N375" s="133">
        <f t="shared" ca="1" si="245"/>
        <v>0</v>
      </c>
      <c r="O375" s="133">
        <f t="shared" ref="O375:O383" ca="1" si="246">IF(L375&gt;0,N375*100/L375,0)</f>
        <v>0</v>
      </c>
      <c r="P375" s="133">
        <f t="shared" ref="P375:P383" ca="1" si="247">IF(M375&gt;0,N375*100/M375,0)</f>
        <v>0</v>
      </c>
      <c r="Q375" s="617">
        <f t="shared" ref="Q375:S375" ca="1" si="248">Q376+Q377</f>
        <v>9375</v>
      </c>
      <c r="R375" s="133">
        <f t="shared" ca="1" si="248"/>
        <v>9375</v>
      </c>
      <c r="S375" s="133">
        <f t="shared" ca="1" si="248"/>
        <v>9375</v>
      </c>
      <c r="T375" s="133">
        <f t="shared" ref="T375:T383" ca="1" si="249">IF(Q375&gt;0,S375*100/Q375,0)</f>
        <v>100</v>
      </c>
      <c r="U375" s="133">
        <f t="shared" ref="U375:U383" ca="1" si="250">IF(R375&gt;0,S375*100/R375,0)</f>
        <v>100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590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0</v>
      </c>
      <c r="M377" s="47">
        <f t="shared" ca="1" si="251"/>
        <v>0</v>
      </c>
      <c r="N377" s="47">
        <f t="shared" ca="1" si="251"/>
        <v>0</v>
      </c>
      <c r="O377" s="47">
        <f t="shared" ca="1" si="246"/>
        <v>0</v>
      </c>
      <c r="P377" s="47">
        <f t="shared" ca="1" si="247"/>
        <v>0</v>
      </c>
      <c r="Q377" s="588">
        <f t="shared" ca="1" si="252"/>
        <v>9375</v>
      </c>
      <c r="R377" s="47">
        <f t="shared" ca="1" si="252"/>
        <v>9375</v>
      </c>
      <c r="S377" s="47">
        <f t="shared" ca="1" si="252"/>
        <v>9375</v>
      </c>
      <c r="T377" s="47">
        <f t="shared" ca="1" si="249"/>
        <v>100</v>
      </c>
      <c r="U377" s="47">
        <f t="shared" ca="1" si="250"/>
        <v>100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0</v>
      </c>
      <c r="M378" s="47">
        <f t="shared" ca="1" si="253"/>
        <v>0</v>
      </c>
      <c r="N378" s="47">
        <f t="shared" ca="1" si="253"/>
        <v>0</v>
      </c>
      <c r="O378" s="47">
        <f t="shared" ca="1" si="246"/>
        <v>0</v>
      </c>
      <c r="P378" s="47">
        <f t="shared" ca="1" si="247"/>
        <v>0</v>
      </c>
      <c r="Q378" s="588">
        <f t="shared" ref="Q378:S378" ca="1" si="254">Q379+Q380</f>
        <v>9375</v>
      </c>
      <c r="R378" s="47">
        <f t="shared" ca="1" si="254"/>
        <v>9375</v>
      </c>
      <c r="S378" s="47">
        <f t="shared" ca="1" si="254"/>
        <v>9375</v>
      </c>
      <c r="T378" s="47">
        <f t="shared" ca="1" si="249"/>
        <v>100</v>
      </c>
      <c r="U378" s="47">
        <f t="shared" ca="1" si="250"/>
        <v>100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590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t="shared" ca="1" si="246"/>
        <v>0</v>
      </c>
      <c r="P380" s="47">
        <f t="shared" ca="1" si="247"/>
        <v>0</v>
      </c>
      <c r="Q380" s="588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IFERROR(__xludf.DUMMYFUNCTION("IMPORTRANGE(""https://docs.google.com/spreadsheets/d/1ItG2mGa2ceCfYo0BwxsXqNm01IGEUdYcSSLTEv9YCik/edit?usp=sharing"",""เบิกจ่ายกองทุน!BY84"")"),9375)</f>
        <v>9375</v>
      </c>
      <c r="T380" s="47">
        <f t="shared" ca="1" si="249"/>
        <v>100</v>
      </c>
      <c r="U380" s="47">
        <f t="shared" ca="1" si="250"/>
        <v>100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588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590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t="shared" ca="1" si="246"/>
        <v>0</v>
      </c>
      <c r="P383" s="47">
        <f t="shared" ca="1" si="247"/>
        <v>0</v>
      </c>
      <c r="Q383" s="588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591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IFERROR(__xludf.DUMMYFUNCTION("IMPORTRANGE(""https://docs.google.com/spreadsheets/d/1w5rwWK1o49a35cNtocGL0gxDwhFSTZUQu90BiH9_zqM/edit?usp=sharing"",""RTK!H84"")"),21)</f>
        <v>21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591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IFERROR(__xludf.DUMMYFUNCTION("IMPORTRANGE(""https://docs.google.com/spreadsheets/d/1w5rwWK1o49a35cNtocGL0gxDwhFSTZUQu90BiH9_zqM/edit?usp=sharing"",""RTK!G84"")"),150)</f>
        <v>150</v>
      </c>
      <c r="J386" s="372">
        <f ca="1">IFERROR(__xludf.DUMMYFUNCTION("IMPORTRANGE(""https://docs.google.com/spreadsheets/d/1w5rwWK1o49a35cNtocGL0gxDwhFSTZUQu90BiH9_zqM/edit?usp=sharing"",""RTK!I84"")"),176)</f>
        <v>176</v>
      </c>
      <c r="K386" s="47">
        <f t="shared" ca="1" si="257"/>
        <v>117.33333333333333</v>
      </c>
      <c r="L386" s="591"/>
      <c r="M386" s="46"/>
      <c r="N386" s="46"/>
      <c r="O386" s="46"/>
      <c r="P386" s="46"/>
      <c r="Q386" s="591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IFERROR(__xludf.DUMMYFUNCTION("IMPORTRANGE(""https://docs.google.com/spreadsheets/d/1w5rwWK1o49a35cNtocGL0gxDwhFSTZUQu90BiH9_zqM/edit?usp=sharing"",""RTK!L84"")"),0)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591"/>
      <c r="R387" s="46"/>
      <c r="S387" s="46"/>
      <c r="T387" s="46"/>
      <c r="U387" s="46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IFERROR(__xludf.DUMMYFUNCTION("IMPORTRANGE(""https://docs.google.com/spreadsheets/d/1w5rwWK1o49a35cNtocGL0gxDwhFSTZUQu90BiH9_zqM/edit?usp=sharing"",""RTK!K84"")"),0)</f>
        <v>0</v>
      </c>
      <c r="J388" s="351">
        <f ca="1">IFERROR(__xludf.DUMMYFUNCTION("IMPORTRANGE(""https://docs.google.com/spreadsheets/d/1w5rwWK1o49a35cNtocGL0gxDwhFSTZUQu90BiH9_zqM/edit?usp=sharing"",""RTK!M84"")"),0)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591"/>
      <c r="R388" s="46"/>
      <c r="S388" s="46"/>
      <c r="T388" s="46"/>
      <c r="U388" s="46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743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744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708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617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590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588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588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590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588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588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590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588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591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743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743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743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743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743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743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743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743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743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744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708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2">L414+L415</f>
        <v>20710</v>
      </c>
      <c r="M413" s="133">
        <f t="shared" ca="1" si="272"/>
        <v>20710</v>
      </c>
      <c r="N413" s="133">
        <f t="shared" ca="1" si="272"/>
        <v>20710</v>
      </c>
      <c r="O413" s="133">
        <f t="shared" ref="O413:O421" ca="1" si="273">IF(L413&gt;0,N413*100/L413,0)</f>
        <v>100</v>
      </c>
      <c r="P413" s="133">
        <f t="shared" ref="P413:P421" ca="1" si="274">IF(M413&gt;0,N413*100/M413,0)</f>
        <v>100</v>
      </c>
      <c r="Q413" s="617">
        <f t="shared" ref="Q413:S413" ca="1" si="275">Q414+Q415</f>
        <v>15150</v>
      </c>
      <c r="R413" s="133">
        <f t="shared" ca="1" si="275"/>
        <v>15150</v>
      </c>
      <c r="S413" s="133">
        <f t="shared" ca="1" si="275"/>
        <v>15150</v>
      </c>
      <c r="T413" s="133">
        <f t="shared" ref="T413:T421" ca="1" si="276">IF(Q413&gt;0,S413*100/Q413,0)</f>
        <v>100</v>
      </c>
      <c r="U413" s="133">
        <f t="shared" ref="U413:U421" ca="1" si="277">IF(R413&gt;0,S413*100/R413,0)</f>
        <v>100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590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20710</v>
      </c>
      <c r="M415" s="47">
        <f t="shared" ca="1" si="278"/>
        <v>20710</v>
      </c>
      <c r="N415" s="47">
        <f t="shared" ca="1" si="278"/>
        <v>20710</v>
      </c>
      <c r="O415" s="47">
        <f t="shared" ca="1" si="273"/>
        <v>100</v>
      </c>
      <c r="P415" s="47">
        <f t="shared" ca="1" si="274"/>
        <v>100</v>
      </c>
      <c r="Q415" s="588">
        <f t="shared" ca="1" si="279"/>
        <v>15150</v>
      </c>
      <c r="R415" s="47">
        <f t="shared" ca="1" si="279"/>
        <v>15150</v>
      </c>
      <c r="S415" s="47">
        <f t="shared" ca="1" si="279"/>
        <v>15150</v>
      </c>
      <c r="T415" s="47">
        <f t="shared" ca="1" si="276"/>
        <v>100</v>
      </c>
      <c r="U415" s="47">
        <f t="shared" ca="1" si="277"/>
        <v>100</v>
      </c>
    </row>
    <row r="416" spans="1:21" ht="19.5" x14ac:dyDescent="0.3">
      <c r="A416" s="129"/>
      <c r="B416" s="160"/>
      <c r="C416" s="160"/>
      <c r="D416" s="739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588">
        <f t="shared" ref="L416:N416" ca="1" si="280">L417+L418</f>
        <v>20710</v>
      </c>
      <c r="M416" s="47">
        <f t="shared" ca="1" si="280"/>
        <v>20710</v>
      </c>
      <c r="N416" s="47">
        <f t="shared" ca="1" si="280"/>
        <v>20710</v>
      </c>
      <c r="O416" s="47">
        <f t="shared" ca="1" si="273"/>
        <v>100</v>
      </c>
      <c r="P416" s="47">
        <f t="shared" ca="1" si="274"/>
        <v>100</v>
      </c>
      <c r="Q416" s="588">
        <f t="shared" ref="Q416:S416" ca="1" si="281">Q417+Q418</f>
        <v>15150</v>
      </c>
      <c r="R416" s="47">
        <f t="shared" ca="1" si="281"/>
        <v>15150</v>
      </c>
      <c r="S416" s="47">
        <f t="shared" ca="1" si="281"/>
        <v>15150</v>
      </c>
      <c r="T416" s="47">
        <f t="shared" ca="1" si="276"/>
        <v>100</v>
      </c>
      <c r="U416" s="47">
        <f t="shared" ca="1" si="277"/>
        <v>100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590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IFERROR(__xludf.DUMMYFUNCTION("IMPORTRANGE(""https://docs.google.com/spreadsheets/d/1-uDff_7J0KD5mKrp0Vvzr7lt3OU09vwQwhkpOPPYv2Y/edit?usp=sharing"",""งบพรบ!IT84"")"),20710)</f>
        <v>20710</v>
      </c>
      <c r="N418" s="47">
        <f ca="1">IFERROR(__xludf.DUMMYFUNCTION("IMPORTRANGE(""https://docs.google.com/spreadsheets/d/1-uDff_7J0KD5mKrp0Vvzr7lt3OU09vwQwhkpOPPYv2Y/edit?usp=sharing"",""งบพรบ!IV84"")"),20710)</f>
        <v>20710</v>
      </c>
      <c r="O418" s="47">
        <f t="shared" ca="1" si="273"/>
        <v>100</v>
      </c>
      <c r="P418" s="47">
        <f t="shared" ca="1" si="274"/>
        <v>100</v>
      </c>
      <c r="Q418" s="588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IFERROR(__xludf.DUMMYFUNCTION("IMPORTRANGE(""https://docs.google.com/spreadsheets/d/1ItG2mGa2ceCfYo0BwxsXqNm01IGEUdYcSSLTEv9YCik/edit?usp=sharing"",""เบิกจ่ายกองทุน!CB84"")"),15150)</f>
        <v>15150</v>
      </c>
      <c r="T418" s="47">
        <f t="shared" ca="1" si="276"/>
        <v>100</v>
      </c>
      <c r="U418" s="47">
        <f t="shared" ca="1" si="277"/>
        <v>100</v>
      </c>
    </row>
    <row r="419" spans="1:21" ht="19.5" x14ac:dyDescent="0.3">
      <c r="A419" s="129"/>
      <c r="B419" s="160"/>
      <c r="C419" s="160"/>
      <c r="D419" s="739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588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590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t="shared" ca="1" si="273"/>
        <v>0</v>
      </c>
      <c r="P421" s="47">
        <f t="shared" ca="1" si="274"/>
        <v>0</v>
      </c>
      <c r="Q421" s="588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591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4">I440</f>
        <v>0</v>
      </c>
      <c r="J423" s="749">
        <f t="shared" si="284"/>
        <v>0</v>
      </c>
      <c r="K423" s="489">
        <f t="shared" ref="K423:K425" ca="1" si="285">IF(I423&gt;0,J423*100/I423,0)</f>
        <v>0</v>
      </c>
      <c r="L423" s="750"/>
      <c r="M423" s="490"/>
      <c r="N423" s="490"/>
      <c r="O423" s="490"/>
      <c r="P423" s="490"/>
      <c r="Q423" s="75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IFERROR(__xludf.DUMMYFUNCTION("IMPORTRANGE(""https://docs.google.com/spreadsheets/d/1eHaY18a8A9IcSdp1K8H6x8fbOy06t2VsZHhMHf-1x7Y/edit?usp=sharing"",""แผน!HJ84"")"),0)</f>
        <v>0</v>
      </c>
      <c r="J424" s="751">
        <f t="shared" ref="J424:J425" si="286">J426+J428+J430</f>
        <v>0</v>
      </c>
      <c r="K424" s="133">
        <f t="shared" ca="1" si="285"/>
        <v>0</v>
      </c>
      <c r="L424" s="591"/>
      <c r="M424" s="46"/>
      <c r="N424" s="46"/>
      <c r="O424" s="46"/>
      <c r="P424" s="46"/>
      <c r="Q424" s="591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IFERROR(__xludf.DUMMYFUNCTION("IMPORTRANGE(""https://docs.google.com/spreadsheets/d/1eHaY18a8A9IcSdp1K8H6x8fbOy06t2VsZHhMHf-1x7Y/edit?usp=sharing"",""แผน!HK84"")"),0)</f>
        <v>0</v>
      </c>
      <c r="J425" s="751">
        <f t="shared" si="286"/>
        <v>0</v>
      </c>
      <c r="K425" s="133">
        <f t="shared" ca="1" si="285"/>
        <v>0</v>
      </c>
      <c r="L425" s="591"/>
      <c r="M425" s="46"/>
      <c r="N425" s="46"/>
      <c r="O425" s="46"/>
      <c r="P425" s="46"/>
      <c r="Q425" s="591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591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591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591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591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591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591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IFERROR(__xludf.DUMMYFUNCTION("IMPORTRANGE(""https://docs.google.com/spreadsheets/d/1eHaY18a8A9IcSdp1K8H6x8fbOy06t2VsZHhMHf-1x7Y/edit?usp=sharing"",""แผน!HJ84"")"),0)</f>
        <v>0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591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IFERROR(__xludf.DUMMYFUNCTION("IMPORTRANGE(""https://docs.google.com/spreadsheets/d/1eHaY18a8A9IcSdp1K8H6x8fbOy06t2VsZHhMHf-1x7Y/edit?usp=sharing"",""แผน!HK84"")"),0)</f>
        <v>0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591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591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591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591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591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591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591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IFERROR(__xludf.DUMMYFUNCTION("IMPORTRANGE(""https://docs.google.com/spreadsheets/d/1eHaY18a8A9IcSdp1K8H6x8fbOy06t2VsZHhMHf-1x7Y/edit?usp=sharing"",""แผน!HJ84"")"),0)</f>
        <v>0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591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IFERROR(__xludf.DUMMYFUNCTION("IMPORTRANGE(""https://docs.google.com/spreadsheets/d/1eHaY18a8A9IcSdp1K8H6x8fbOy06t2VsZHhMHf-1x7Y/edit?usp=sharing"",""แผน!HK84"")"),0)</f>
        <v>0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591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591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591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591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591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591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591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591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591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591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591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591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591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591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591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189.34</v>
      </c>
      <c r="J456" s="754">
        <f t="shared" si="292"/>
        <v>0</v>
      </c>
      <c r="K456" s="489">
        <f t="shared" ref="K456:K458" ca="1" si="293">IF(I456&gt;0,J456*100/I456,0)</f>
        <v>0</v>
      </c>
      <c r="L456" s="750"/>
      <c r="M456" s="490"/>
      <c r="N456" s="490"/>
      <c r="O456" s="490"/>
      <c r="P456" s="490"/>
      <c r="Q456" s="75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IFERROR(__xludf.DUMMYFUNCTION("IMPORTRANGE(""https://docs.google.com/spreadsheets/d/1eHaY18a8A9IcSdp1K8H6x8fbOy06t2VsZHhMHf-1x7Y/edit?usp=sharing"",""แผน!HL84"")"),189.34)</f>
        <v>189.34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591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IFERROR(__xludf.DUMMYFUNCTION("IMPORTRANGE(""https://docs.google.com/spreadsheets/d/1eHaY18a8A9IcSdp1K8H6x8fbOy06t2VsZHhMHf-1x7Y/edit?usp=sharing"",""แผน!HM84"")"),21)</f>
        <v>21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591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591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591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591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591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591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591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591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591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591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591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591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591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591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591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591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591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75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5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5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591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591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591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591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591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591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299">J480</f>
        <v>0</v>
      </c>
      <c r="J484" s="763">
        <f t="shared" ref="J484:J485" si="300">J486+J488+J490</f>
        <v>0</v>
      </c>
      <c r="K484" s="764">
        <f t="shared" ref="K484:K485" si="301">IF(I484&gt;0,J484*100/I484,0)</f>
        <v>0</v>
      </c>
      <c r="L484" s="765"/>
      <c r="M484" s="766"/>
      <c r="N484" s="766"/>
      <c r="O484" s="766"/>
      <c r="P484" s="766"/>
      <c r="Q484" s="765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299"/>
        <v>0</v>
      </c>
      <c r="J485" s="763">
        <f t="shared" si="300"/>
        <v>0</v>
      </c>
      <c r="K485" s="764">
        <f t="shared" si="301"/>
        <v>0</v>
      </c>
      <c r="L485" s="765"/>
      <c r="M485" s="766"/>
      <c r="N485" s="766"/>
      <c r="O485" s="766"/>
      <c r="P485" s="766"/>
      <c r="Q485" s="765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591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591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591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591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591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592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0</v>
      </c>
      <c r="J492" s="321">
        <f t="shared" ca="1" si="302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708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3">L494+L495</f>
        <v>0</v>
      </c>
      <c r="M493" s="133">
        <f t="shared" ca="1" si="303"/>
        <v>0</v>
      </c>
      <c r="N493" s="133">
        <f t="shared" ca="1" si="303"/>
        <v>0</v>
      </c>
      <c r="O493" s="133">
        <f t="shared" ref="O493:O501" ca="1" si="304">IF(L493&gt;0,N493*100/L493,0)</f>
        <v>0</v>
      </c>
      <c r="P493" s="133">
        <f t="shared" ref="P493:P501" ca="1" si="305">IF(M493&gt;0,N493*100/M493,0)</f>
        <v>0</v>
      </c>
      <c r="Q493" s="617">
        <f t="shared" ref="Q493:S493" ca="1" si="306">Q494+Q495</f>
        <v>0</v>
      </c>
      <c r="R493" s="133">
        <f t="shared" ca="1" si="306"/>
        <v>0</v>
      </c>
      <c r="S493" s="133">
        <f t="shared" ca="1" si="306"/>
        <v>0</v>
      </c>
      <c r="T493" s="133">
        <f t="shared" ref="T493:T501" ca="1" si="307">IF(Q493&gt;0,S493*100/Q493,0)</f>
        <v>0</v>
      </c>
      <c r="U493" s="133">
        <f t="shared" ref="U493:U501" ca="1" si="308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590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0</v>
      </c>
      <c r="M495" s="47">
        <f t="shared" ca="1" si="309"/>
        <v>0</v>
      </c>
      <c r="N495" s="47">
        <f t="shared" ca="1" si="309"/>
        <v>0</v>
      </c>
      <c r="O495" s="47">
        <f t="shared" ca="1" si="304"/>
        <v>0</v>
      </c>
      <c r="P495" s="47">
        <f t="shared" ca="1" si="305"/>
        <v>0</v>
      </c>
      <c r="Q495" s="588">
        <f t="shared" ca="1" si="310"/>
        <v>0</v>
      </c>
      <c r="R495" s="47">
        <f t="shared" ca="1" si="310"/>
        <v>0</v>
      </c>
      <c r="S495" s="47">
        <f t="shared" ca="1" si="310"/>
        <v>0</v>
      </c>
      <c r="T495" s="47">
        <f t="shared" ca="1" si="307"/>
        <v>0</v>
      </c>
      <c r="U495" s="47">
        <f t="shared" ca="1" si="308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0</v>
      </c>
      <c r="M496" s="47">
        <f t="shared" ca="1" si="311"/>
        <v>0</v>
      </c>
      <c r="N496" s="47">
        <f t="shared" ca="1" si="311"/>
        <v>0</v>
      </c>
      <c r="O496" s="47">
        <f t="shared" ca="1" si="304"/>
        <v>0</v>
      </c>
      <c r="P496" s="47">
        <f t="shared" ca="1" si="305"/>
        <v>0</v>
      </c>
      <c r="Q496" s="588">
        <f t="shared" ref="Q496:S496" ca="1" si="312">Q497+Q498</f>
        <v>0</v>
      </c>
      <c r="R496" s="47">
        <f t="shared" ca="1" si="312"/>
        <v>0</v>
      </c>
      <c r="S496" s="47">
        <f t="shared" ca="1" si="312"/>
        <v>0</v>
      </c>
      <c r="T496" s="47">
        <f t="shared" ca="1" si="307"/>
        <v>0</v>
      </c>
      <c r="U496" s="47">
        <f t="shared" ca="1" si="308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590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t="shared" ca="1" si="304"/>
        <v>0</v>
      </c>
      <c r="P498" s="47">
        <f t="shared" ca="1" si="305"/>
        <v>0</v>
      </c>
      <c r="Q498" s="588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t="shared" ca="1" si="307"/>
        <v>0</v>
      </c>
      <c r="U498" s="47">
        <f t="shared" ca="1" si="308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588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590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t="shared" ca="1" si="304"/>
        <v>0</v>
      </c>
      <c r="P501" s="47">
        <f t="shared" ca="1" si="305"/>
        <v>0</v>
      </c>
      <c r="Q501" s="588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619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IFERROR(__xludf.DUMMYFUNCTION("IMPORTRANGE(""https://docs.google.com/spreadsheets/d/1eHaY18a8A9IcSdp1K8H6x8fbOy06t2VsZHhMHf-1x7Y/edit?usp=sharing"",""แผน!GX84"")"),0)</f>
        <v>0</v>
      </c>
      <c r="J503" s="371">
        <f ca="1">IF(AND(J504=I504,J505=I505,J506=I506,J507=I507),I503,0)</f>
        <v>0</v>
      </c>
      <c r="K503" s="133">
        <f t="shared" ref="K503:K509" ca="1" si="315">IF(I503&gt;0,J503*100/I503,0)</f>
        <v>0</v>
      </c>
      <c r="L503" s="591"/>
      <c r="M503" s="46"/>
      <c r="N503" s="46"/>
      <c r="O503" s="46"/>
      <c r="P503" s="46"/>
      <c r="Q503" s="591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IFERROR(__xludf.DUMMYFUNCTION("IMPORTRANGE(""https://docs.google.com/spreadsheets/d/1eHaY18a8A9IcSdp1K8H6x8fbOy06t2VsZHhMHf-1x7Y/edit?usp=sharing"",""แผน!GY84"")"),0)</f>
        <v>0</v>
      </c>
      <c r="J504" s="169">
        <v>0</v>
      </c>
      <c r="K504" s="47">
        <f t="shared" ca="1" si="315"/>
        <v>0</v>
      </c>
      <c r="L504" s="591"/>
      <c r="M504" s="46"/>
      <c r="N504" s="46"/>
      <c r="O504" s="46"/>
      <c r="P504" s="46"/>
      <c r="Q504" s="591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IFERROR(__xludf.DUMMYFUNCTION("IMPORTRANGE(""https://docs.google.com/spreadsheets/d/1eHaY18a8A9IcSdp1K8H6x8fbOy06t2VsZHhMHf-1x7Y/edit?usp=sharing"",""แผน!GZ84"")"),0)</f>
        <v>0</v>
      </c>
      <c r="J505" s="169">
        <v>0</v>
      </c>
      <c r="K505" s="47">
        <f t="shared" ca="1" si="315"/>
        <v>0</v>
      </c>
      <c r="L505" s="591"/>
      <c r="M505" s="46"/>
      <c r="N505" s="46"/>
      <c r="O505" s="46"/>
      <c r="P505" s="46"/>
      <c r="Q505" s="591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IFERROR(__xludf.DUMMYFUNCTION("IMPORTRANGE(""https://docs.google.com/spreadsheets/d/1eHaY18a8A9IcSdp1K8H6x8fbOy06t2VsZHhMHf-1x7Y/edit?usp=sharing"",""แผน!HA84"")"),0)</f>
        <v>0</v>
      </c>
      <c r="J506" s="169">
        <v>0</v>
      </c>
      <c r="K506" s="47">
        <f t="shared" ca="1" si="315"/>
        <v>0</v>
      </c>
      <c r="L506" s="591"/>
      <c r="M506" s="46"/>
      <c r="N506" s="46"/>
      <c r="O506" s="46"/>
      <c r="P506" s="46"/>
      <c r="Q506" s="591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IFERROR(__xludf.DUMMYFUNCTION("IMPORTRANGE(""https://docs.google.com/spreadsheets/d/1eHaY18a8A9IcSdp1K8H6x8fbOy06t2VsZHhMHf-1x7Y/edit?usp=sharing"",""แผน!HB84"")"),0)</f>
        <v>0</v>
      </c>
      <c r="J507" s="169">
        <v>0</v>
      </c>
      <c r="K507" s="47">
        <f t="shared" ca="1" si="315"/>
        <v>0</v>
      </c>
      <c r="L507" s="591"/>
      <c r="M507" s="46"/>
      <c r="N507" s="46"/>
      <c r="O507" s="46"/>
      <c r="P507" s="46"/>
      <c r="Q507" s="591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591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IFERROR(__xludf.DUMMYFUNCTION("IMPORTRANGE(""https://docs.google.com/spreadsheets/d/1eHaY18a8A9IcSdp1K8H6x8fbOy06t2VsZHhMHf-1x7Y/edit?usp=sharing"",""แผน!HC84"")"),0)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592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776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783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6">I524</f>
        <v>0</v>
      </c>
      <c r="J512" s="855">
        <f t="shared" si="316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792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7">L514+L515</f>
        <v>0</v>
      </c>
      <c r="M513" s="133">
        <f t="shared" ca="1" si="317"/>
        <v>0</v>
      </c>
      <c r="N513" s="133">
        <f t="shared" ca="1" si="317"/>
        <v>0</v>
      </c>
      <c r="O513" s="133">
        <f t="shared" ref="O513:O521" ca="1" si="318">IF(L513&gt;0,N513*100/L513,0)</f>
        <v>0</v>
      </c>
      <c r="P513" s="133">
        <f t="shared" ref="P513:P521" ca="1" si="319">IF(M513&gt;0,N513*100/M513,0)</f>
        <v>0</v>
      </c>
      <c r="Q513" s="617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590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3"/>
        <v>0</v>
      </c>
      <c r="M515" s="47">
        <f t="shared" ca="1" si="323"/>
        <v>0</v>
      </c>
      <c r="N515" s="47">
        <f t="shared" ca="1" si="323"/>
        <v>0</v>
      </c>
      <c r="O515" s="47">
        <f t="shared" ca="1" si="318"/>
        <v>0</v>
      </c>
      <c r="P515" s="47">
        <f t="shared" ca="1" si="319"/>
        <v>0</v>
      </c>
      <c r="Q515" s="588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588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590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t="shared" ca="1" si="318"/>
        <v>0</v>
      </c>
      <c r="P518" s="47">
        <f t="shared" ca="1" si="319"/>
        <v>0</v>
      </c>
      <c r="Q518" s="588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7">L520+L521</f>
        <v>0</v>
      </c>
      <c r="M519" s="47">
        <f t="shared" ca="1" si="327"/>
        <v>0</v>
      </c>
      <c r="N519" s="47">
        <f t="shared" ca="1" si="327"/>
        <v>0</v>
      </c>
      <c r="O519" s="47">
        <f t="shared" ca="1" si="318"/>
        <v>0</v>
      </c>
      <c r="P519" s="47">
        <f t="shared" ca="1" si="319"/>
        <v>0</v>
      </c>
      <c r="Q519" s="588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590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t="shared" ca="1" si="318"/>
        <v>0</v>
      </c>
      <c r="P521" s="47">
        <f t="shared" ca="1" si="319"/>
        <v>0</v>
      </c>
      <c r="Q521" s="588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591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9">IF(I523&gt;0,J523*100/I523,0)</f>
        <v>0</v>
      </c>
      <c r="L523" s="591"/>
      <c r="M523" s="46"/>
      <c r="N523" s="46"/>
      <c r="O523" s="46"/>
      <c r="P523" s="46"/>
      <c r="Q523" s="591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9"/>
        <v>0</v>
      </c>
      <c r="L524" s="591"/>
      <c r="M524" s="46"/>
      <c r="N524" s="46"/>
      <c r="O524" s="46"/>
      <c r="P524" s="46"/>
      <c r="Q524" s="591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743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743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743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743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743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743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743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744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0">I545</f>
        <v>0</v>
      </c>
      <c r="J533" s="818">
        <f t="shared" si="330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792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617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590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588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588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590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t="shared" ca="1" si="332"/>
        <v>0</v>
      </c>
      <c r="P539" s="47">
        <f t="shared" ca="1" si="333"/>
        <v>0</v>
      </c>
      <c r="Q539" s="588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588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590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t="shared" ca="1" si="332"/>
        <v>0</v>
      </c>
      <c r="P542" s="47">
        <f t="shared" ca="1" si="333"/>
        <v>0</v>
      </c>
      <c r="Q542" s="588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591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743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743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743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743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743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743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743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743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743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744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792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617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590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588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588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590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t="shared" ca="1" si="345"/>
        <v>0</v>
      </c>
      <c r="P560" s="47">
        <f t="shared" ca="1" si="346"/>
        <v>0</v>
      </c>
      <c r="Q560" s="588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588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590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t="shared" ca="1" si="345"/>
        <v>0</v>
      </c>
      <c r="P563" s="47">
        <f t="shared" ca="1" si="346"/>
        <v>0</v>
      </c>
      <c r="Q563" s="588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591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743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743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743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743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743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743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743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743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743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744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6">I587</f>
        <v>0</v>
      </c>
      <c r="J575" s="818">
        <f t="shared" si="356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792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0</v>
      </c>
      <c r="M576" s="133">
        <f t="shared" ca="1" si="357"/>
        <v>0</v>
      </c>
      <c r="N576" s="133">
        <f t="shared" ca="1" si="357"/>
        <v>0</v>
      </c>
      <c r="O576" s="133">
        <f t="shared" ref="O576:O584" ca="1" si="358">IF(L576&gt;0,N576*100/L576,0)</f>
        <v>0</v>
      </c>
      <c r="P576" s="133">
        <f t="shared" ref="P576:P584" ca="1" si="359">IF(M576&gt;0,N576*100/M576,0)</f>
        <v>0</v>
      </c>
      <c r="Q576" s="617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590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0</v>
      </c>
      <c r="M578" s="47">
        <f t="shared" ca="1" si="363"/>
        <v>0</v>
      </c>
      <c r="N578" s="47">
        <f t="shared" ca="1" si="363"/>
        <v>0</v>
      </c>
      <c r="O578" s="47">
        <f t="shared" ca="1" si="358"/>
        <v>0</v>
      </c>
      <c r="P578" s="47">
        <f t="shared" ca="1" si="359"/>
        <v>0</v>
      </c>
      <c r="Q578" s="588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0</v>
      </c>
      <c r="M579" s="47">
        <f t="shared" ca="1" si="365"/>
        <v>0</v>
      </c>
      <c r="N579" s="47">
        <f t="shared" ca="1" si="365"/>
        <v>0</v>
      </c>
      <c r="O579" s="47">
        <f t="shared" ca="1" si="358"/>
        <v>0</v>
      </c>
      <c r="P579" s="47">
        <f t="shared" ca="1" si="359"/>
        <v>0</v>
      </c>
      <c r="Q579" s="588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590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t="shared" ca="1" si="358"/>
        <v>0</v>
      </c>
      <c r="P581" s="47">
        <f t="shared" ca="1" si="359"/>
        <v>0</v>
      </c>
      <c r="Q581" s="588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588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590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t="shared" ca="1" si="358"/>
        <v>0</v>
      </c>
      <c r="P584" s="47">
        <f t="shared" ca="1" si="359"/>
        <v>0</v>
      </c>
      <c r="Q584" s="588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591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743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743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743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743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743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743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743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743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743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744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614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615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615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69">L600+L601</f>
        <v>0</v>
      </c>
      <c r="M599" s="133">
        <f t="shared" ca="1" si="369"/>
        <v>0</v>
      </c>
      <c r="N599" s="133">
        <f t="shared" ca="1" si="369"/>
        <v>0</v>
      </c>
      <c r="O599" s="133">
        <f t="shared" ref="O599:O607" ca="1" si="370">IF(L599&gt;0,N599*100/L599,0)</f>
        <v>0</v>
      </c>
      <c r="P599" s="133">
        <f t="shared" ref="P599:P607" ca="1" si="371">IF(M599&gt;0,N599*100/M599,0)</f>
        <v>0</v>
      </c>
      <c r="Q599" s="617">
        <f t="shared" ref="Q599:S599" ca="1" si="372">Q600+Q601</f>
        <v>0</v>
      </c>
      <c r="R599" s="133">
        <f t="shared" ca="1" si="372"/>
        <v>0</v>
      </c>
      <c r="S599" s="133">
        <f t="shared" ca="1" si="372"/>
        <v>0</v>
      </c>
      <c r="T599" s="133">
        <f t="shared" ref="T599:T607" ca="1" si="373">IF(Q599&gt;0,S599*100/Q599,0)</f>
        <v>0</v>
      </c>
      <c r="U599" s="133">
        <f t="shared" ref="U599:U607" ca="1" si="374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5">L603+L606</f>
        <v>0</v>
      </c>
      <c r="M600" s="49">
        <f t="shared" si="375"/>
        <v>0</v>
      </c>
      <c r="N600" s="49">
        <f t="shared" si="375"/>
        <v>0</v>
      </c>
      <c r="O600" s="49">
        <f t="shared" si="370"/>
        <v>0</v>
      </c>
      <c r="P600" s="49">
        <f t="shared" si="371"/>
        <v>0</v>
      </c>
      <c r="Q600" s="590">
        <f t="shared" ref="Q600:S601" si="376">Q603+Q606</f>
        <v>0</v>
      </c>
      <c r="R600" s="49">
        <f t="shared" si="376"/>
        <v>0</v>
      </c>
      <c r="S600" s="49">
        <f t="shared" si="376"/>
        <v>0</v>
      </c>
      <c r="T600" s="49">
        <f t="shared" si="373"/>
        <v>0</v>
      </c>
      <c r="U600" s="49">
        <f t="shared" si="374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5"/>
        <v>0</v>
      </c>
      <c r="M601" s="47">
        <f t="shared" ca="1" si="375"/>
        <v>0</v>
      </c>
      <c r="N601" s="47">
        <f t="shared" ca="1" si="375"/>
        <v>0</v>
      </c>
      <c r="O601" s="47">
        <f t="shared" ca="1" si="370"/>
        <v>0</v>
      </c>
      <c r="P601" s="47">
        <f t="shared" ca="1" si="371"/>
        <v>0</v>
      </c>
      <c r="Q601" s="588">
        <f t="shared" ca="1" si="376"/>
        <v>0</v>
      </c>
      <c r="R601" s="47">
        <f t="shared" ca="1" si="376"/>
        <v>0</v>
      </c>
      <c r="S601" s="47">
        <f t="shared" ca="1" si="376"/>
        <v>0</v>
      </c>
      <c r="T601" s="47">
        <f t="shared" ca="1" si="373"/>
        <v>0</v>
      </c>
      <c r="U601" s="47">
        <f t="shared" ca="1" si="374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7">L603+L604</f>
        <v>0</v>
      </c>
      <c r="M602" s="47">
        <f t="shared" ca="1" si="377"/>
        <v>0</v>
      </c>
      <c r="N602" s="47">
        <f t="shared" ca="1" si="377"/>
        <v>0</v>
      </c>
      <c r="O602" s="47">
        <f t="shared" ca="1" si="370"/>
        <v>0</v>
      </c>
      <c r="P602" s="47">
        <f t="shared" ca="1" si="371"/>
        <v>0</v>
      </c>
      <c r="Q602" s="588">
        <f t="shared" ref="Q602:S602" ca="1" si="378">Q603+Q604</f>
        <v>0</v>
      </c>
      <c r="R602" s="47">
        <f t="shared" ca="1" si="378"/>
        <v>0</v>
      </c>
      <c r="S602" s="47">
        <f t="shared" ca="1" si="378"/>
        <v>0</v>
      </c>
      <c r="T602" s="47">
        <f t="shared" ca="1" si="373"/>
        <v>0</v>
      </c>
      <c r="U602" s="47">
        <f t="shared" ca="1" si="374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0"/>
        <v>0</v>
      </c>
      <c r="P603" s="49">
        <f t="shared" si="371"/>
        <v>0</v>
      </c>
      <c r="Q603" s="590">
        <v>0</v>
      </c>
      <c r="R603" s="49">
        <v>0</v>
      </c>
      <c r="S603" s="49">
        <v>0</v>
      </c>
      <c r="T603" s="49">
        <f t="shared" si="373"/>
        <v>0</v>
      </c>
      <c r="U603" s="49">
        <f t="shared" si="374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t="shared" ca="1" si="370"/>
        <v>0</v>
      </c>
      <c r="P604" s="47">
        <f t="shared" ca="1" si="371"/>
        <v>0</v>
      </c>
      <c r="Q604" s="588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t="shared" ca="1" si="373"/>
        <v>0</v>
      </c>
      <c r="U604" s="47">
        <f t="shared" ca="1" si="374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79">L606+L607</f>
        <v>0</v>
      </c>
      <c r="M605" s="47">
        <f t="shared" ca="1" si="379"/>
        <v>0</v>
      </c>
      <c r="N605" s="47">
        <f t="shared" ca="1" si="379"/>
        <v>0</v>
      </c>
      <c r="O605" s="47">
        <f t="shared" ca="1" si="370"/>
        <v>0</v>
      </c>
      <c r="P605" s="47">
        <f t="shared" ca="1" si="371"/>
        <v>0</v>
      </c>
      <c r="Q605" s="588">
        <f t="shared" ref="Q605:S605" ca="1" si="380">Q606+Q607</f>
        <v>0</v>
      </c>
      <c r="R605" s="47">
        <f t="shared" ca="1" si="380"/>
        <v>0</v>
      </c>
      <c r="S605" s="47">
        <f t="shared" ca="1" si="380"/>
        <v>0</v>
      </c>
      <c r="T605" s="47">
        <f t="shared" ca="1" si="373"/>
        <v>0</v>
      </c>
      <c r="U605" s="47">
        <f t="shared" ca="1" si="374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0"/>
        <v>0</v>
      </c>
      <c r="P606" s="49">
        <f t="shared" si="371"/>
        <v>0</v>
      </c>
      <c r="Q606" s="590">
        <v>0</v>
      </c>
      <c r="R606" s="49">
        <v>0</v>
      </c>
      <c r="S606" s="49">
        <v>0</v>
      </c>
      <c r="T606" s="49">
        <f t="shared" si="373"/>
        <v>0</v>
      </c>
      <c r="U606" s="49">
        <f t="shared" si="374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t="shared" ca="1" si="370"/>
        <v>0</v>
      </c>
      <c r="P607" s="47">
        <f t="shared" ca="1" si="371"/>
        <v>0</v>
      </c>
      <c r="Q607" s="588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t="shared" ca="1" si="373"/>
        <v>0</v>
      </c>
      <c r="U607" s="47">
        <f t="shared" ca="1" si="374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591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591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591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591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4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836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837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50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75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617">
        <f t="shared" ref="Q616:S616" ca="1" si="385">Q617+Q618</f>
        <v>6700</v>
      </c>
      <c r="R616" s="133">
        <f t="shared" ca="1" si="385"/>
        <v>0</v>
      </c>
      <c r="S616" s="133">
        <f t="shared" ca="1" si="385"/>
        <v>0</v>
      </c>
      <c r="T616" s="133">
        <f t="shared" ref="T616:T624" ca="1" si="386">IF(Q616&gt;0,S616*100/Q616,0)</f>
        <v>0</v>
      </c>
      <c r="U616" s="133">
        <f t="shared" ref="U616:U624" ca="1" si="387">IF(R616&gt;0,S616*100/R616,0)</f>
        <v>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590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588">
        <f t="shared" ca="1" si="389"/>
        <v>6700</v>
      </c>
      <c r="R618" s="47">
        <f t="shared" ca="1" si="389"/>
        <v>0</v>
      </c>
      <c r="S618" s="47">
        <f t="shared" ca="1" si="389"/>
        <v>0</v>
      </c>
      <c r="T618" s="47">
        <f t="shared" ca="1" si="386"/>
        <v>0</v>
      </c>
      <c r="U618" s="47">
        <f t="shared" ca="1" si="387"/>
        <v>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588">
        <f t="shared" ref="Q619:S619" ca="1" si="391">Q620+Q621</f>
        <v>6700</v>
      </c>
      <c r="R619" s="47">
        <f t="shared" ca="1" si="391"/>
        <v>0</v>
      </c>
      <c r="S619" s="47">
        <f t="shared" ca="1" si="391"/>
        <v>0</v>
      </c>
      <c r="T619" s="47">
        <f t="shared" ca="1" si="386"/>
        <v>0</v>
      </c>
      <c r="U619" s="47">
        <f t="shared" ca="1" si="387"/>
        <v>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590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588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IFERROR(__xludf.DUMMYFUNCTION("IMPORTRANGE(""https://docs.google.com/spreadsheets/d/1ItG2mGa2ceCfYo0BwxsXqNm01IGEUdYcSSLTEv9YCik/edit?usp=sharing"",""เบิกจ่ายกองทุน!G84"")"),0)</f>
        <v>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t="shared" ca="1" si="386"/>
        <v>0</v>
      </c>
      <c r="U621" s="47">
        <f t="shared" ca="1" si="387"/>
        <v>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588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590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588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619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IFERROR(__xludf.DUMMYFUNCTION("IMPORTRANGE(""https://docs.google.com/spreadsheets/d/1eHaY18a8A9IcSdp1K8H6x8fbOy06t2VsZHhMHf-1x7Y/edit?usp=sharing"",""แผน!ID84"")"),50)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619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IFERROR(__xludf.DUMMYFUNCTION("IMPORTRANGE(""https://docs.google.com/spreadsheets/d/1eHaY18a8A9IcSdp1K8H6x8fbOy06t2VsZHhMHf-1x7Y/edit?usp=sharing"",""แผน!IC84"")"),0)</f>
        <v>0</v>
      </c>
      <c r="J627" s="169">
        <v>0</v>
      </c>
      <c r="K627" s="47">
        <f ca="1">IF(I627&gt;0,(J628*100)/I627,0)</f>
        <v>0</v>
      </c>
      <c r="L627" s="619"/>
      <c r="M627" s="137"/>
      <c r="N627" s="137"/>
      <c r="O627" s="137"/>
      <c r="P627" s="137"/>
      <c r="Q627" s="619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IFERROR(__xludf.DUMMYFUNCTION("IMPORTRANGE(""https://docs.google.com/spreadsheets/d/1eHaY18a8A9IcSdp1K8H6x8fbOy06t2VsZHhMHf-1x7Y/edit?usp=sharing"",""แผน!IC84"")"),0)</f>
        <v>0</v>
      </c>
      <c r="J628" s="169">
        <v>8</v>
      </c>
      <c r="K628" s="47">
        <f ca="1">IF(I628&gt;0,(#REF!*100)/I628,0)</f>
        <v>0</v>
      </c>
      <c r="L628" s="619"/>
      <c r="M628" s="137"/>
      <c r="N628" s="137"/>
      <c r="O628" s="137"/>
      <c r="P628" s="137"/>
      <c r="Q628" s="619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4">IF(I$626&gt;0,J629*100/I$626,0)</f>
        <v>0</v>
      </c>
      <c r="L629" s="619"/>
      <c r="M629" s="137"/>
      <c r="N629" s="137"/>
      <c r="O629" s="137"/>
      <c r="P629" s="137"/>
      <c r="Q629" s="619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4"/>
        <v>0</v>
      </c>
      <c r="L630" s="619"/>
      <c r="M630" s="137"/>
      <c r="N630" s="137"/>
      <c r="O630" s="137"/>
      <c r="P630" s="137"/>
      <c r="Q630" s="619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4"/>
        <v>0</v>
      </c>
      <c r="L631" s="619"/>
      <c r="M631" s="137"/>
      <c r="N631" s="137"/>
      <c r="O631" s="137"/>
      <c r="P631" s="137"/>
      <c r="Q631" s="619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619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619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619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IFERROR(__xludf.DUMMYFUNCTION("IMPORTRANGE(""https://docs.google.com/spreadsheets/d/1eHaY18a8A9IcSdp1K8H6x8fbOy06t2VsZHhMHf-1x7Y/edit?usp=sharing"",""แผน!IE84"")"),0)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619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619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619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619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619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619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75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5">L643+L644</f>
        <v>0</v>
      </c>
      <c r="M642" s="133">
        <f t="shared" si="395"/>
        <v>0</v>
      </c>
      <c r="N642" s="133">
        <f t="shared" si="395"/>
        <v>0</v>
      </c>
      <c r="O642" s="133">
        <f t="shared" ref="O642:O650" si="396">IF(L642&gt;0,N642*100/L642,0)</f>
        <v>0</v>
      </c>
      <c r="P642" s="133">
        <f t="shared" ref="P642:P650" si="397">IF(M642&gt;0,N642*100/M642,0)</f>
        <v>0</v>
      </c>
      <c r="Q642" s="617">
        <f t="shared" ref="Q642:S642" ca="1" si="398">Q643+Q644</f>
        <v>0</v>
      </c>
      <c r="R642" s="133">
        <f t="shared" ca="1" si="398"/>
        <v>0</v>
      </c>
      <c r="S642" s="133">
        <f t="shared" ca="1" si="398"/>
        <v>0</v>
      </c>
      <c r="T642" s="133">
        <f t="shared" ref="T642:T650" ca="1" si="399">IF(Q642&gt;0,S642*100/Q642,0)</f>
        <v>0</v>
      </c>
      <c r="U642" s="133">
        <f t="shared" ref="U642:U650" ca="1" si="400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1">L646+L649</f>
        <v>0</v>
      </c>
      <c r="M643" s="49">
        <f t="shared" si="401"/>
        <v>0</v>
      </c>
      <c r="N643" s="49">
        <f t="shared" si="401"/>
        <v>0</v>
      </c>
      <c r="O643" s="49">
        <f t="shared" si="396"/>
        <v>0</v>
      </c>
      <c r="P643" s="49">
        <f t="shared" si="397"/>
        <v>0</v>
      </c>
      <c r="Q643" s="590">
        <f t="shared" ref="Q643:S644" si="402">Q646+Q649</f>
        <v>0</v>
      </c>
      <c r="R643" s="49">
        <f t="shared" si="402"/>
        <v>0</v>
      </c>
      <c r="S643" s="49">
        <f t="shared" si="402"/>
        <v>0</v>
      </c>
      <c r="T643" s="49">
        <f t="shared" si="399"/>
        <v>0</v>
      </c>
      <c r="U643" s="49">
        <f t="shared" si="400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1"/>
        <v>0</v>
      </c>
      <c r="M644" s="47">
        <f t="shared" si="401"/>
        <v>0</v>
      </c>
      <c r="N644" s="47">
        <f t="shared" si="401"/>
        <v>0</v>
      </c>
      <c r="O644" s="47">
        <f t="shared" si="396"/>
        <v>0</v>
      </c>
      <c r="P644" s="47">
        <f t="shared" si="397"/>
        <v>0</v>
      </c>
      <c r="Q644" s="588">
        <f t="shared" ca="1" si="402"/>
        <v>0</v>
      </c>
      <c r="R644" s="47">
        <f t="shared" ca="1" si="402"/>
        <v>0</v>
      </c>
      <c r="S644" s="47">
        <f t="shared" ca="1" si="402"/>
        <v>0</v>
      </c>
      <c r="T644" s="47">
        <f t="shared" ca="1" si="399"/>
        <v>0</v>
      </c>
      <c r="U644" s="47">
        <f t="shared" ca="1" si="400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3">L646+L647</f>
        <v>0</v>
      </c>
      <c r="M645" s="47">
        <f t="shared" si="403"/>
        <v>0</v>
      </c>
      <c r="N645" s="47">
        <f t="shared" si="403"/>
        <v>0</v>
      </c>
      <c r="O645" s="47">
        <f t="shared" si="396"/>
        <v>0</v>
      </c>
      <c r="P645" s="47">
        <f t="shared" si="397"/>
        <v>0</v>
      </c>
      <c r="Q645" s="588">
        <f t="shared" ref="Q645:S645" ca="1" si="404">Q646+Q647</f>
        <v>0</v>
      </c>
      <c r="R645" s="47">
        <f t="shared" ca="1" si="404"/>
        <v>0</v>
      </c>
      <c r="S645" s="47">
        <f t="shared" ca="1" si="404"/>
        <v>0</v>
      </c>
      <c r="T645" s="47">
        <f t="shared" ca="1" si="399"/>
        <v>0</v>
      </c>
      <c r="U645" s="47">
        <f t="shared" ca="1" si="400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6"/>
        <v>0</v>
      </c>
      <c r="P646" s="49">
        <f t="shared" si="397"/>
        <v>0</v>
      </c>
      <c r="Q646" s="590">
        <v>0</v>
      </c>
      <c r="R646" s="49">
        <v>0</v>
      </c>
      <c r="S646" s="49">
        <v>0</v>
      </c>
      <c r="T646" s="49">
        <f t="shared" si="399"/>
        <v>0</v>
      </c>
      <c r="U646" s="49">
        <f t="shared" si="400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6"/>
        <v>0</v>
      </c>
      <c r="P647" s="47">
        <f t="shared" si="397"/>
        <v>0</v>
      </c>
      <c r="Q647" s="588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t="shared" ca="1" si="399"/>
        <v>0</v>
      </c>
      <c r="U647" s="47">
        <f t="shared" ca="1" si="400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5">L649+L650</f>
        <v>0</v>
      </c>
      <c r="M648" s="47">
        <f t="shared" si="405"/>
        <v>0</v>
      </c>
      <c r="N648" s="47">
        <f t="shared" si="405"/>
        <v>0</v>
      </c>
      <c r="O648" s="47">
        <f t="shared" si="396"/>
        <v>0</v>
      </c>
      <c r="P648" s="47">
        <f t="shared" si="397"/>
        <v>0</v>
      </c>
      <c r="Q648" s="588">
        <f t="shared" ref="Q648:S648" si="406">Q649+Q650</f>
        <v>0</v>
      </c>
      <c r="R648" s="47">
        <f t="shared" si="406"/>
        <v>0</v>
      </c>
      <c r="S648" s="47">
        <f t="shared" si="406"/>
        <v>0</v>
      </c>
      <c r="T648" s="47">
        <f t="shared" si="399"/>
        <v>0</v>
      </c>
      <c r="U648" s="47">
        <f t="shared" si="400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6"/>
        <v>0</v>
      </c>
      <c r="P649" s="49">
        <f t="shared" si="397"/>
        <v>0</v>
      </c>
      <c r="Q649" s="590">
        <v>0</v>
      </c>
      <c r="R649" s="49">
        <v>0</v>
      </c>
      <c r="S649" s="49">
        <v>0</v>
      </c>
      <c r="T649" s="49">
        <f t="shared" si="399"/>
        <v>0</v>
      </c>
      <c r="U649" s="49">
        <f t="shared" si="400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6"/>
        <v>0</v>
      </c>
      <c r="P650" s="47">
        <f t="shared" si="397"/>
        <v>0</v>
      </c>
      <c r="Q650" s="588">
        <v>0</v>
      </c>
      <c r="R650" s="47">
        <v>0</v>
      </c>
      <c r="S650" s="47">
        <v>0</v>
      </c>
      <c r="T650" s="47">
        <f t="shared" si="399"/>
        <v>0</v>
      </c>
      <c r="U650" s="47">
        <f t="shared" si="400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591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IFERROR(__xludf.DUMMYFUNCTION("IMPORTRANGE(""https://docs.google.com/spreadsheets/d/1eHaY18a8A9IcSdp1K8H6x8fbOy06t2VsZHhMHf-1x7Y/edit?usp=sharing"",""แผน!IF84"")"),0)</f>
        <v>0</v>
      </c>
      <c r="J652" s="37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t="shared" ref="K652:K654" ca="1" si="407">IF(I652&gt;0,J652*100/I652,0)</f>
        <v>0</v>
      </c>
      <c r="L652" s="591"/>
      <c r="M652" s="46"/>
      <c r="N652" s="500"/>
      <c r="O652" s="46"/>
      <c r="P652" s="46"/>
      <c r="Q652" s="591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IFERROR(__xludf.DUMMYFUNCTION("IMPORTRANGE(""https://docs.google.com/spreadsheets/d/1eHaY18a8A9IcSdp1K8H6x8fbOy06t2VsZHhMHf-1x7Y/edit?usp=sharing"",""แผน!IG84"")"),0)</f>
        <v>0</v>
      </c>
      <c r="J653" s="37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t="shared" ca="1" si="407"/>
        <v>0</v>
      </c>
      <c r="L653" s="591"/>
      <c r="M653" s="46"/>
      <c r="N653" s="500"/>
      <c r="O653" s="46"/>
      <c r="P653" s="46"/>
      <c r="Q653" s="591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IFERROR(__xludf.DUMMYFUNCTION("IMPORTRANGE(""https://docs.google.com/spreadsheets/d/1eHaY18a8A9IcSdp1K8H6x8fbOy06t2VsZHhMHf-1x7Y/edit?usp=sharing"",""แผน!IH84"")"),0)</f>
        <v>0</v>
      </c>
      <c r="J654" s="371">
        <f>J657+J660</f>
        <v>0</v>
      </c>
      <c r="K654" s="133">
        <f t="shared" ca="1" si="407"/>
        <v>0</v>
      </c>
      <c r="L654" s="591"/>
      <c r="M654" s="46"/>
      <c r="N654" s="500"/>
      <c r="O654" s="46"/>
      <c r="P654" s="46"/>
      <c r="Q654" s="591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591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591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IFERROR(__xludf.DUMMYFUNCTION("IMPORTRANGE(""https://docs.google.com/spreadsheets/d/1eHaY18a8A9IcSdp1K8H6x8fbOy06t2VsZHhMHf-1x7Y/edit?usp=sharing"",""แผน!II84"")"),0)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591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591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591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IFERROR(__xludf.DUMMYFUNCTION("IMPORTRANGE(""https://docs.google.com/spreadsheets/d/1eHaY18a8A9IcSdp1K8H6x8fbOy06t2VsZHhMHf-1x7Y/edit?usp=sharing"",""แผน!IJ84"")"),0)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591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IFERROR(__xludf.DUMMYFUNCTION("IMPORTRANGE(""https://docs.google.com/spreadsheets/d/1eHaY18a8A9IcSdp1K8H6x8fbOy06t2VsZHhMHf-1x7Y/edit?usp=sharing"",""แผน!IK84"")"),0)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591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841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841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841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841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841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841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841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841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841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591"/>
      <c r="M671" s="46"/>
      <c r="N671" s="500"/>
      <c r="O671" s="46"/>
      <c r="P671" s="46"/>
      <c r="Q671" s="591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841"/>
      <c r="M672" s="46"/>
      <c r="N672" s="500"/>
      <c r="O672" s="46"/>
      <c r="P672" s="46"/>
      <c r="Q672" s="841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IFERROR(__xludf.DUMMYFUNCTION("IMPORTRANGE(""https://docs.google.com/spreadsheets/d/1eHaY18a8A9IcSdp1K8H6x8fbOy06t2VsZHhMHf-1x7Y/edit?usp=sharing"",""แผน!IL84"")"),0)</f>
        <v>0</v>
      </c>
      <c r="J673" s="37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t="shared" ref="K673:K676" ca="1" si="408">IF(I673&gt;0,J673*100/I673,0)</f>
        <v>0</v>
      </c>
      <c r="L673" s="841"/>
      <c r="M673" s="46"/>
      <c r="N673" s="500"/>
      <c r="O673" s="46"/>
      <c r="P673" s="46"/>
      <c r="Q673" s="841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IFERROR(__xludf.DUMMYFUNCTION("IMPORTRANGE(""https://docs.google.com/spreadsheets/d/1eHaY18a8A9IcSdp1K8H6x8fbOy06t2VsZHhMHf-1x7Y/edit?usp=sharing"",""แผน!IM84"")"),0)</f>
        <v>0</v>
      </c>
      <c r="J674" s="371">
        <f ca="1">J676+J679</f>
        <v>0</v>
      </c>
      <c r="K674" s="133">
        <f t="shared" ca="1" si="408"/>
        <v>0</v>
      </c>
      <c r="L674" s="841"/>
      <c r="M674" s="46"/>
      <c r="N674" s="500"/>
      <c r="O674" s="46"/>
      <c r="P674" s="46"/>
      <c r="Q674" s="841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IFERROR(__xludf.DUMMYFUNCTION("IMPORTRANGE(""https://docs.google.com/spreadsheets/d/1eHaY18a8A9IcSdp1K8H6x8fbOy06t2VsZHhMHf-1x7Y/edit?usp=sharing"",""แผน!IN84"")"),0)</f>
        <v>0</v>
      </c>
      <c r="J675" s="371">
        <f ca="1">J678+J681</f>
        <v>0</v>
      </c>
      <c r="K675" s="133">
        <f t="shared" ca="1" si="408"/>
        <v>0</v>
      </c>
      <c r="L675" s="591"/>
      <c r="M675" s="46"/>
      <c r="N675" s="500"/>
      <c r="O675" s="46"/>
      <c r="P675" s="46"/>
      <c r="Q675" s="591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IFERROR(__xludf.DUMMYFUNCTION("IMPORTRANGE(""https://docs.google.com/spreadsheets/d/1eHaY18a8A9IcSdp1K8H6x8fbOy06t2VsZHhMHf-1x7Y/edit?usp=sharing"",""แผน!IO84"")"),0)</f>
        <v>0</v>
      </c>
      <c r="J676" s="37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t="shared" ca="1" si="408"/>
        <v>0</v>
      </c>
      <c r="L676" s="591"/>
      <c r="M676" s="46"/>
      <c r="N676" s="500"/>
      <c r="O676" s="46"/>
      <c r="P676" s="46"/>
      <c r="Q676" s="591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841"/>
      <c r="M677" s="46"/>
      <c r="N677" s="500"/>
      <c r="O677" s="46"/>
      <c r="P677" s="46"/>
      <c r="Q677" s="841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IFERROR(__xludf.DUMMYFUNCTION("IMPORTRANGE(""https://docs.google.com/spreadsheets/d/1eHaY18a8A9IcSdp1K8H6x8fbOy06t2VsZHhMHf-1x7Y/edit?usp=sharing"",""แผน!IP84"")"),0)</f>
        <v>0</v>
      </c>
      <c r="J678" s="37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t="shared" ref="K678:K679" ca="1" si="409">IF(I678&gt;0,J678*100/I678,0)</f>
        <v>0</v>
      </c>
      <c r="L678" s="841"/>
      <c r="M678" s="46"/>
      <c r="N678" s="500"/>
      <c r="O678" s="46"/>
      <c r="P678" s="46"/>
      <c r="Q678" s="841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IFERROR(__xludf.DUMMYFUNCTION("IMPORTRANGE(""https://docs.google.com/spreadsheets/d/1eHaY18a8A9IcSdp1K8H6x8fbOy06t2VsZHhMHf-1x7Y/edit?usp=sharing"",""แผน!IQ84"")"),0)</f>
        <v>0</v>
      </c>
      <c r="J679" s="37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t="shared" ca="1" si="409"/>
        <v>0</v>
      </c>
      <c r="L679" s="591"/>
      <c r="M679" s="46"/>
      <c r="N679" s="500"/>
      <c r="O679" s="46"/>
      <c r="P679" s="46"/>
      <c r="Q679" s="591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841"/>
      <c r="M680" s="46"/>
      <c r="N680" s="500"/>
      <c r="O680" s="46"/>
      <c r="P680" s="46"/>
      <c r="Q680" s="841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IFERROR(__xludf.DUMMYFUNCTION("IMPORTRANGE(""https://docs.google.com/spreadsheets/d/1eHaY18a8A9IcSdp1K8H6x8fbOy06t2VsZHhMHf-1x7Y/edit?usp=sharing"",""แผน!IR84"")"),0)</f>
        <v>0</v>
      </c>
      <c r="J681" s="37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t="shared" ref="K681:K682" ca="1" si="410">IF(I681&gt;0,J681*100/I681,0)</f>
        <v>0</v>
      </c>
      <c r="L681" s="841"/>
      <c r="M681" s="46"/>
      <c r="N681" s="500"/>
      <c r="O681" s="46"/>
      <c r="P681" s="46"/>
      <c r="Q681" s="841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IFERROR(__xludf.DUMMYFUNCTION("IMPORTRANGE(""https://docs.google.com/spreadsheets/d/1eHaY18a8A9IcSdp1K8H6x8fbOy06t2VsZHhMHf-1x7Y/edit?usp=sharing"",""แผน!IS84"")"),0)</f>
        <v>0</v>
      </c>
      <c r="J682" s="371">
        <f>J685+J688</f>
        <v>0</v>
      </c>
      <c r="K682" s="133">
        <f t="shared" ca="1" si="410"/>
        <v>0</v>
      </c>
      <c r="L682" s="591"/>
      <c r="M682" s="46"/>
      <c r="N682" s="500"/>
      <c r="O682" s="46"/>
      <c r="P682" s="46"/>
      <c r="Q682" s="591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841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841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841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841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841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84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503" t="s">
        <v>35</v>
      </c>
      <c r="I689" s="504">
        <f t="shared" ref="I689:J689" ca="1" si="411">I707+I709</f>
        <v>34</v>
      </c>
      <c r="J689" s="504">
        <f t="shared" ca="1" si="411"/>
        <v>38</v>
      </c>
      <c r="K689" s="505">
        <f ca="1">IF(I689&gt;0,J689*100/I689,0)</f>
        <v>111.76470588235294</v>
      </c>
      <c r="L689" s="837"/>
      <c r="M689" s="482"/>
      <c r="N689" s="482"/>
      <c r="O689" s="482"/>
      <c r="P689" s="482"/>
      <c r="Q689" s="837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2">L691+L692</f>
        <v>0</v>
      </c>
      <c r="M690" s="133">
        <f t="shared" si="412"/>
        <v>0</v>
      </c>
      <c r="N690" s="133">
        <f t="shared" si="412"/>
        <v>0</v>
      </c>
      <c r="O690" s="133">
        <f t="shared" ref="O690:O698" si="413">IF(L690&gt;0,N690*100/L690,0)</f>
        <v>0</v>
      </c>
      <c r="P690" s="133">
        <f t="shared" ref="P690:P698" si="414">IF(M690&gt;0,N690*100/M690,0)</f>
        <v>0</v>
      </c>
      <c r="Q690" s="617">
        <f t="shared" ref="Q690:S690" ca="1" si="415">Q691+Q692</f>
        <v>135150</v>
      </c>
      <c r="R690" s="133">
        <f t="shared" ca="1" si="415"/>
        <v>85811.47</v>
      </c>
      <c r="S690" s="133">
        <f t="shared" ca="1" si="415"/>
        <v>85811.47</v>
      </c>
      <c r="T690" s="133">
        <f t="shared" ref="T690:T698" ca="1" si="416">IF(Q690&gt;0,S690*100/Q690,0)</f>
        <v>63.493503514613394</v>
      </c>
      <c r="U690" s="133">
        <f t="shared" ref="U690:U698" ca="1" si="417">IF(R690&gt;0,S690*100/R690,0)</f>
        <v>100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8">L694+L697</f>
        <v>0</v>
      </c>
      <c r="M691" s="49">
        <f t="shared" si="418"/>
        <v>0</v>
      </c>
      <c r="N691" s="49">
        <f t="shared" si="418"/>
        <v>0</v>
      </c>
      <c r="O691" s="49">
        <f t="shared" si="413"/>
        <v>0</v>
      </c>
      <c r="P691" s="49">
        <f t="shared" si="414"/>
        <v>0</v>
      </c>
      <c r="Q691" s="590">
        <f t="shared" ref="Q691:S692" si="419">Q694+Q697</f>
        <v>0</v>
      </c>
      <c r="R691" s="49">
        <f t="shared" si="419"/>
        <v>0</v>
      </c>
      <c r="S691" s="49">
        <f t="shared" si="419"/>
        <v>0</v>
      </c>
      <c r="T691" s="49">
        <f t="shared" si="416"/>
        <v>0</v>
      </c>
      <c r="U691" s="49">
        <f t="shared" si="417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8"/>
        <v>0</v>
      </c>
      <c r="M692" s="47">
        <f t="shared" si="418"/>
        <v>0</v>
      </c>
      <c r="N692" s="47">
        <f t="shared" si="418"/>
        <v>0</v>
      </c>
      <c r="O692" s="47">
        <f t="shared" si="413"/>
        <v>0</v>
      </c>
      <c r="P692" s="47">
        <f t="shared" si="414"/>
        <v>0</v>
      </c>
      <c r="Q692" s="588">
        <f t="shared" ca="1" si="419"/>
        <v>135150</v>
      </c>
      <c r="R692" s="47">
        <f t="shared" ca="1" si="419"/>
        <v>85811.47</v>
      </c>
      <c r="S692" s="47">
        <f t="shared" ca="1" si="419"/>
        <v>85811.47</v>
      </c>
      <c r="T692" s="47">
        <f t="shared" ca="1" si="416"/>
        <v>63.493503514613394</v>
      </c>
      <c r="U692" s="47">
        <f t="shared" ca="1" si="417"/>
        <v>100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0">L694+L695</f>
        <v>0</v>
      </c>
      <c r="M693" s="47">
        <f t="shared" si="420"/>
        <v>0</v>
      </c>
      <c r="N693" s="47">
        <f t="shared" si="420"/>
        <v>0</v>
      </c>
      <c r="O693" s="47">
        <f t="shared" si="413"/>
        <v>0</v>
      </c>
      <c r="P693" s="47">
        <f t="shared" si="414"/>
        <v>0</v>
      </c>
      <c r="Q693" s="588">
        <f t="shared" ref="Q693:S693" ca="1" si="421">Q694+Q695</f>
        <v>135150</v>
      </c>
      <c r="R693" s="47">
        <f t="shared" ca="1" si="421"/>
        <v>85811.47</v>
      </c>
      <c r="S693" s="47">
        <f t="shared" ca="1" si="421"/>
        <v>85811.47</v>
      </c>
      <c r="T693" s="47">
        <f t="shared" ca="1" si="416"/>
        <v>63.493503514613394</v>
      </c>
      <c r="U693" s="47">
        <f t="shared" ca="1" si="417"/>
        <v>100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3"/>
        <v>0</v>
      </c>
      <c r="P694" s="49">
        <f t="shared" si="414"/>
        <v>0</v>
      </c>
      <c r="Q694" s="590">
        <v>0</v>
      </c>
      <c r="R694" s="49">
        <v>0</v>
      </c>
      <c r="S694" s="49">
        <v>0</v>
      </c>
      <c r="T694" s="49">
        <f t="shared" si="416"/>
        <v>0</v>
      </c>
      <c r="U694" s="49">
        <f t="shared" si="417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3"/>
        <v>0</v>
      </c>
      <c r="P695" s="47">
        <f t="shared" si="414"/>
        <v>0</v>
      </c>
      <c r="Q695" s="588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IFERROR(__xludf.DUMMYFUNCTION("IMPORTRANGE(""https://docs.google.com/spreadsheets/d/1ItG2mGa2ceCfYo0BwxsXqNm01IGEUdYcSSLTEv9YCik/edit?usp=sharing"",""เบิกจ่ายกองทุน!M84"")"),85811.47)</f>
        <v>85811.47</v>
      </c>
      <c r="S695" s="47">
        <f ca="1">IFERROR(__xludf.DUMMYFUNCTION("IMPORTRANGE(""https://docs.google.com/spreadsheets/d/1ItG2mGa2ceCfYo0BwxsXqNm01IGEUdYcSSLTEv9YCik/edit?usp=sharing"",""เบิกจ่ายกองทุน!N84"")"),85811.47)</f>
        <v>85811.47</v>
      </c>
      <c r="T695" s="47">
        <f t="shared" ca="1" si="416"/>
        <v>63.493503514613394</v>
      </c>
      <c r="U695" s="47">
        <f t="shared" ca="1" si="417"/>
        <v>100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2">L697+L698</f>
        <v>0</v>
      </c>
      <c r="M696" s="47">
        <f t="shared" si="422"/>
        <v>0</v>
      </c>
      <c r="N696" s="47">
        <f t="shared" si="422"/>
        <v>0</v>
      </c>
      <c r="O696" s="47">
        <f t="shared" si="413"/>
        <v>0</v>
      </c>
      <c r="P696" s="47">
        <f t="shared" si="414"/>
        <v>0</v>
      </c>
      <c r="Q696" s="588">
        <f t="shared" ref="Q696:S696" si="423">Q697+Q698</f>
        <v>0</v>
      </c>
      <c r="R696" s="47">
        <f t="shared" si="423"/>
        <v>0</v>
      </c>
      <c r="S696" s="47">
        <f t="shared" si="423"/>
        <v>0</v>
      </c>
      <c r="T696" s="47">
        <f t="shared" si="416"/>
        <v>0</v>
      </c>
      <c r="U696" s="47">
        <f t="shared" si="417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3"/>
        <v>0</v>
      </c>
      <c r="P697" s="49">
        <f t="shared" si="414"/>
        <v>0</v>
      </c>
      <c r="Q697" s="590">
        <v>0</v>
      </c>
      <c r="R697" s="49">
        <v>0</v>
      </c>
      <c r="S697" s="49">
        <v>0</v>
      </c>
      <c r="T697" s="49">
        <f t="shared" si="416"/>
        <v>0</v>
      </c>
      <c r="U697" s="49">
        <f t="shared" si="417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3"/>
        <v>0</v>
      </c>
      <c r="P698" s="47">
        <f t="shared" si="414"/>
        <v>0</v>
      </c>
      <c r="Q698" s="588">
        <v>0</v>
      </c>
      <c r="R698" s="47">
        <v>0</v>
      </c>
      <c r="S698" s="47">
        <v>0</v>
      </c>
      <c r="T698" s="47">
        <f t="shared" si="416"/>
        <v>0</v>
      </c>
      <c r="U698" s="47">
        <f t="shared" si="417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591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IFERROR(__xludf.DUMMYFUNCTION("IMPORTRANGE(""https://docs.google.com/spreadsheets/d/1eHaY18a8A9IcSdp1K8H6x8fbOy06t2VsZHhMHf-1x7Y/edit?usp=sharing"",""แผน!LC84"")"),0)</f>
        <v>0</v>
      </c>
      <c r="J700" s="169">
        <v>0</v>
      </c>
      <c r="K700" s="154">
        <f t="shared" ref="K700:K710" ca="1" si="424">IF(I700&gt;0,J700*100/I700,0)</f>
        <v>0</v>
      </c>
      <c r="L700" s="619"/>
      <c r="M700" s="137"/>
      <c r="N700" s="46"/>
      <c r="O700" s="137"/>
      <c r="P700" s="137"/>
      <c r="Q700" s="619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5">I703+I705</f>
        <v>34</v>
      </c>
      <c r="J701" s="371">
        <f t="shared" ca="1" si="425"/>
        <v>38</v>
      </c>
      <c r="K701" s="133">
        <f t="shared" ca="1" si="424"/>
        <v>111.76470588235294</v>
      </c>
      <c r="L701" s="619"/>
      <c r="M701" s="137"/>
      <c r="N701" s="137"/>
      <c r="O701" s="137"/>
      <c r="P701" s="137"/>
      <c r="Q701" s="619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8.07</v>
      </c>
      <c r="K702" s="133">
        <f t="shared" si="424"/>
        <v>0</v>
      </c>
      <c r="L702" s="619"/>
      <c r="M702" s="137"/>
      <c r="N702" s="137"/>
      <c r="O702" s="137"/>
      <c r="P702" s="137"/>
      <c r="Q702" s="619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IFERROR(__xludf.DUMMYFUNCTION("IMPORTRANGE(""https://docs.google.com/spreadsheets/d/1eHaY18a8A9IcSdp1K8H6x8fbOy06t2VsZHhMHf-1x7Y/edit?usp=sharing"",""แผน!LJ84"")"),31)</f>
        <v>31</v>
      </c>
      <c r="J703" s="372">
        <f ca="1">IFERROR(__xludf.DUMMYFUNCTION("IMPORTRANGE(""https://docs.google.com/spreadsheets/d/1tdoBKaGub7dwA3U6UFTqxio9LNnvDCQjHKmttSEBsFQ/edit?usp=sharing"",""จัดที่ดิน!AP84"")"),36)</f>
        <v>36</v>
      </c>
      <c r="K703" s="47">
        <f t="shared" ca="1" si="424"/>
        <v>116.12903225806451</v>
      </c>
      <c r="L703" s="619"/>
      <c r="M703" s="137"/>
      <c r="N703" s="137"/>
      <c r="O703" s="137"/>
      <c r="P703" s="137"/>
      <c r="Q703" s="619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IFERROR(__xludf.DUMMYFUNCTION("IMPORTRANGE(""https://docs.google.com/spreadsheets/d/1tdoBKaGub7dwA3U6UFTqxio9LNnvDCQjHKmttSEBsFQ/edit?usp=sharing"",""จัดที่ดิน!AQ84"")"),8.07)</f>
        <v>8.07</v>
      </c>
      <c r="K704" s="47">
        <f t="shared" si="424"/>
        <v>0</v>
      </c>
      <c r="L704" s="619"/>
      <c r="M704" s="137"/>
      <c r="N704" s="137"/>
      <c r="O704" s="137"/>
      <c r="P704" s="137"/>
      <c r="Q704" s="619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IFERROR(__xludf.DUMMYFUNCTION("IMPORTRANGE(""https://docs.google.com/spreadsheets/d/1eHaY18a8A9IcSdp1K8H6x8fbOy06t2VsZHhMHf-1x7Y/edit?usp=sharing"",""แผน!LK84"")"),3)</f>
        <v>3</v>
      </c>
      <c r="J705" s="372">
        <f ca="1">IFERROR(__xludf.DUMMYFUNCTION("IMPORTRANGE(""https://docs.google.com/spreadsheets/d/1tdoBKaGub7dwA3U6UFTqxio9LNnvDCQjHKmttSEBsFQ/edit?usp=sharing"",""จัดที่ดิน!AR84"")"),2)</f>
        <v>2</v>
      </c>
      <c r="K705" s="154">
        <f t="shared" ca="1" si="424"/>
        <v>66.666666666666671</v>
      </c>
      <c r="L705" s="619"/>
      <c r="M705" s="137"/>
      <c r="N705" s="137"/>
      <c r="O705" s="137"/>
      <c r="P705" s="137"/>
      <c r="Q705" s="619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 t="shared" si="424"/>
        <v>0</v>
      </c>
      <c r="L706" s="619"/>
      <c r="M706" s="137"/>
      <c r="N706" s="137"/>
      <c r="O706" s="137"/>
      <c r="P706" s="137"/>
      <c r="Q706" s="619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IFERROR(__xludf.DUMMYFUNCTION("IMPORTRANGE(""https://docs.google.com/spreadsheets/d/1eHaY18a8A9IcSdp1K8H6x8fbOy06t2VsZHhMHf-1x7Y/edit?usp=sharing"",""แผน!LJ84"")"),31)</f>
        <v>31</v>
      </c>
      <c r="J707" s="372">
        <f ca="1">IFERROR(__xludf.DUMMYFUNCTION("IMPORTRANGE(""https://docs.google.com/spreadsheets/d/1tdoBKaGub7dwA3U6UFTqxio9LNnvDCQjHKmttSEBsFQ/edit?usp=sharing"",""จัดที่ดิน!BN84"")"),36)</f>
        <v>36</v>
      </c>
      <c r="K707" s="47">
        <f t="shared" ca="1" si="424"/>
        <v>116.12903225806451</v>
      </c>
      <c r="L707" s="619"/>
      <c r="M707" s="137"/>
      <c r="N707" s="137"/>
      <c r="O707" s="137"/>
      <c r="P707" s="137"/>
      <c r="Q707" s="619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IFERROR(__xludf.DUMMYFUNCTION("IMPORTRANGE(""https://docs.google.com/spreadsheets/d/1tdoBKaGub7dwA3U6UFTqxio9LNnvDCQjHKmttSEBsFQ/edit?usp=sharing"",""จัดที่ดิน!BO84"")"),8)</f>
        <v>8</v>
      </c>
      <c r="K708" s="47">
        <f t="shared" si="424"/>
        <v>0</v>
      </c>
      <c r="L708" s="619"/>
      <c r="M708" s="137"/>
      <c r="N708" s="137"/>
      <c r="O708" s="137"/>
      <c r="P708" s="137"/>
      <c r="Q708" s="619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IFERROR(__xludf.DUMMYFUNCTION("IMPORTRANGE(""https://docs.google.com/spreadsheets/d/1eHaY18a8A9IcSdp1K8H6x8fbOy06t2VsZHhMHf-1x7Y/edit?usp=sharing"",""แผน!LK84"")"),3)</f>
        <v>3</v>
      </c>
      <c r="J709" s="372">
        <f ca="1">IFERROR(__xludf.DUMMYFUNCTION("IMPORTRANGE(""https://docs.google.com/spreadsheets/d/1tdoBKaGub7dwA3U6UFTqxio9LNnvDCQjHKmttSEBsFQ/edit?usp=sharing"",""จัดที่ดิน!BP84"")"),2)</f>
        <v>2</v>
      </c>
      <c r="K709" s="47">
        <f t="shared" ca="1" si="424"/>
        <v>66.666666666666671</v>
      </c>
      <c r="L709" s="591"/>
      <c r="M709" s="46"/>
      <c r="N709" s="46"/>
      <c r="O709" s="46"/>
      <c r="P709" s="46"/>
      <c r="Q709" s="591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 t="shared" si="424"/>
        <v>0</v>
      </c>
      <c r="L710" s="591"/>
      <c r="M710" s="46"/>
      <c r="N710" s="46"/>
      <c r="O710" s="46"/>
      <c r="P710" s="46"/>
      <c r="Q710" s="591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744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837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837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6">L715+L716</f>
        <v>0</v>
      </c>
      <c r="M714" s="133">
        <f t="shared" si="426"/>
        <v>0</v>
      </c>
      <c r="N714" s="133">
        <f t="shared" si="426"/>
        <v>0</v>
      </c>
      <c r="O714" s="133">
        <f t="shared" ref="O714:O722" si="427">IF(L714&gt;0,N714*100/L714,0)</f>
        <v>0</v>
      </c>
      <c r="P714" s="133">
        <f t="shared" ref="P714:P722" si="428">IF(M714&gt;0,N714*100/M714,0)</f>
        <v>0</v>
      </c>
      <c r="Q714" s="617">
        <f t="shared" ref="Q714:S714" si="429">Q715+Q716</f>
        <v>0</v>
      </c>
      <c r="R714" s="133">
        <f t="shared" si="429"/>
        <v>0</v>
      </c>
      <c r="S714" s="133">
        <f t="shared" si="429"/>
        <v>0</v>
      </c>
      <c r="T714" s="133">
        <f t="shared" ref="T714:T722" si="430">IF(Q714&gt;0,S714*100/Q714,0)</f>
        <v>0</v>
      </c>
      <c r="U714" s="133">
        <f t="shared" ref="U714:U722" si="431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2">L718+L721</f>
        <v>0</v>
      </c>
      <c r="M715" s="49">
        <f t="shared" si="432"/>
        <v>0</v>
      </c>
      <c r="N715" s="49">
        <f t="shared" si="432"/>
        <v>0</v>
      </c>
      <c r="O715" s="49">
        <f t="shared" si="427"/>
        <v>0</v>
      </c>
      <c r="P715" s="49">
        <f t="shared" si="428"/>
        <v>0</v>
      </c>
      <c r="Q715" s="590">
        <f t="shared" ref="Q715:S716" si="433">Q718+Q721</f>
        <v>0</v>
      </c>
      <c r="R715" s="49">
        <f t="shared" si="433"/>
        <v>0</v>
      </c>
      <c r="S715" s="49">
        <f t="shared" si="433"/>
        <v>0</v>
      </c>
      <c r="T715" s="49">
        <f t="shared" si="430"/>
        <v>0</v>
      </c>
      <c r="U715" s="49">
        <f t="shared" si="431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2"/>
        <v>0</v>
      </c>
      <c r="M716" s="47">
        <f t="shared" si="432"/>
        <v>0</v>
      </c>
      <c r="N716" s="47">
        <f t="shared" si="432"/>
        <v>0</v>
      </c>
      <c r="O716" s="47">
        <f t="shared" si="427"/>
        <v>0</v>
      </c>
      <c r="P716" s="47">
        <f t="shared" si="428"/>
        <v>0</v>
      </c>
      <c r="Q716" s="588">
        <f t="shared" si="433"/>
        <v>0</v>
      </c>
      <c r="R716" s="47">
        <f t="shared" si="433"/>
        <v>0</v>
      </c>
      <c r="S716" s="47">
        <f t="shared" si="433"/>
        <v>0</v>
      </c>
      <c r="T716" s="47">
        <f t="shared" si="430"/>
        <v>0</v>
      </c>
      <c r="U716" s="47">
        <f t="shared" si="431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4">L718+L719</f>
        <v>0</v>
      </c>
      <c r="M717" s="47">
        <f t="shared" si="434"/>
        <v>0</v>
      </c>
      <c r="N717" s="47">
        <f t="shared" si="434"/>
        <v>0</v>
      </c>
      <c r="O717" s="47">
        <f t="shared" si="427"/>
        <v>0</v>
      </c>
      <c r="P717" s="47">
        <f t="shared" si="428"/>
        <v>0</v>
      </c>
      <c r="Q717" s="588">
        <f t="shared" ref="Q717:S717" si="435">Q718+Q719</f>
        <v>0</v>
      </c>
      <c r="R717" s="47">
        <f t="shared" si="435"/>
        <v>0</v>
      </c>
      <c r="S717" s="47">
        <f t="shared" si="435"/>
        <v>0</v>
      </c>
      <c r="T717" s="47">
        <f t="shared" si="430"/>
        <v>0</v>
      </c>
      <c r="U717" s="47">
        <f t="shared" si="431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7"/>
        <v>0</v>
      </c>
      <c r="P718" s="49">
        <f t="shared" si="428"/>
        <v>0</v>
      </c>
      <c r="Q718" s="590">
        <v>0</v>
      </c>
      <c r="R718" s="49">
        <v>0</v>
      </c>
      <c r="S718" s="49">
        <v>0</v>
      </c>
      <c r="T718" s="49">
        <f t="shared" si="430"/>
        <v>0</v>
      </c>
      <c r="U718" s="49">
        <f t="shared" si="431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7"/>
        <v>0</v>
      </c>
      <c r="P719" s="47">
        <f t="shared" si="428"/>
        <v>0</v>
      </c>
      <c r="Q719" s="588">
        <v>0</v>
      </c>
      <c r="R719" s="47">
        <v>0</v>
      </c>
      <c r="S719" s="47">
        <v>0</v>
      </c>
      <c r="T719" s="47">
        <f t="shared" si="430"/>
        <v>0</v>
      </c>
      <c r="U719" s="47">
        <f t="shared" si="431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6">L721+L722</f>
        <v>0</v>
      </c>
      <c r="M720" s="47">
        <f t="shared" si="436"/>
        <v>0</v>
      </c>
      <c r="N720" s="47">
        <f t="shared" si="436"/>
        <v>0</v>
      </c>
      <c r="O720" s="47">
        <f t="shared" si="427"/>
        <v>0</v>
      </c>
      <c r="P720" s="47">
        <f t="shared" si="428"/>
        <v>0</v>
      </c>
      <c r="Q720" s="588">
        <f t="shared" ref="Q720:S720" si="437">Q721+Q722</f>
        <v>0</v>
      </c>
      <c r="R720" s="47">
        <f t="shared" si="437"/>
        <v>0</v>
      </c>
      <c r="S720" s="47">
        <f t="shared" si="437"/>
        <v>0</v>
      </c>
      <c r="T720" s="47">
        <f t="shared" si="430"/>
        <v>0</v>
      </c>
      <c r="U720" s="47">
        <f t="shared" si="431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7"/>
        <v>0</v>
      </c>
      <c r="P721" s="49">
        <f t="shared" si="428"/>
        <v>0</v>
      </c>
      <c r="Q721" s="590">
        <v>0</v>
      </c>
      <c r="R721" s="49">
        <v>0</v>
      </c>
      <c r="S721" s="49">
        <v>0</v>
      </c>
      <c r="T721" s="49">
        <f t="shared" si="430"/>
        <v>0</v>
      </c>
      <c r="U721" s="49">
        <f t="shared" si="431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7"/>
        <v>0</v>
      </c>
      <c r="P722" s="47">
        <f t="shared" si="428"/>
        <v>0</v>
      </c>
      <c r="Q722" s="588">
        <v>0</v>
      </c>
      <c r="R722" s="47">
        <v>0</v>
      </c>
      <c r="S722" s="47">
        <v>0</v>
      </c>
      <c r="T722" s="47">
        <f t="shared" si="430"/>
        <v>0</v>
      </c>
      <c r="U722" s="47">
        <f t="shared" si="431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619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591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592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IFERROR(__xludf.DUMMYFUNCTION("IMPORTRANGE(""https://docs.google.com/spreadsheets/d/1eHaY18a8A9IcSdp1K8H6x8fbOy06t2VsZHhMHf-1x7Y/edit?usp=sharing"",""แผน!GA84"")"),11)</f>
        <v>11</v>
      </c>
      <c r="J726" s="504">
        <f>J742+J746+J749</f>
        <v>11</v>
      </c>
      <c r="K726" s="505">
        <f t="shared" ref="K726:K727" ca="1" si="438">IF(I726&gt;0,J726*100/I726,0)</f>
        <v>100</v>
      </c>
      <c r="L726" s="837"/>
      <c r="M726" s="482"/>
      <c r="N726" s="482"/>
      <c r="O726" s="482"/>
      <c r="P726" s="482"/>
      <c r="Q726" s="837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IFERROR(__xludf.DUMMYFUNCTION("IMPORTRANGE(""https://docs.google.com/spreadsheets/d/1eHaY18a8A9IcSdp1K8H6x8fbOy06t2VsZHhMHf-1x7Y/edit?usp=sharing"",""แผน!FZ84"")"),100)</f>
        <v>100</v>
      </c>
      <c r="J727" s="504">
        <f>J752+J755</f>
        <v>100</v>
      </c>
      <c r="K727" s="505">
        <f t="shared" ca="1" si="438"/>
        <v>100</v>
      </c>
      <c r="L727" s="837"/>
      <c r="M727" s="482"/>
      <c r="N727" s="482"/>
      <c r="O727" s="482"/>
      <c r="P727" s="482"/>
      <c r="Q727" s="837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39">L729+L730</f>
        <v>0</v>
      </c>
      <c r="M728" s="133">
        <f t="shared" si="439"/>
        <v>0</v>
      </c>
      <c r="N728" s="133">
        <f t="shared" si="439"/>
        <v>0</v>
      </c>
      <c r="O728" s="133">
        <f t="shared" ref="O728:O736" si="440">IF(L728&gt;0,N728*100/L728,0)</f>
        <v>0</v>
      </c>
      <c r="P728" s="133">
        <f t="shared" ref="P728:P736" si="441">IF(M728&gt;0,N728*100/M728,0)</f>
        <v>0</v>
      </c>
      <c r="Q728" s="617">
        <f t="shared" ref="Q728:S728" ca="1" si="442">Q729+Q730</f>
        <v>111882</v>
      </c>
      <c r="R728" s="133">
        <f t="shared" ca="1" si="442"/>
        <v>128382</v>
      </c>
      <c r="S728" s="133">
        <f t="shared" ca="1" si="442"/>
        <v>128382</v>
      </c>
      <c r="T728" s="133">
        <f t="shared" ref="T728:T736" ca="1" si="443">IF(Q728&gt;0,S728*100/Q728,0)</f>
        <v>114.74768059205235</v>
      </c>
      <c r="U728" s="133">
        <f t="shared" ref="U728:U736" ca="1" si="444">IF(R728&gt;0,S728*100/R728,0)</f>
        <v>100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5">L732+L735</f>
        <v>0</v>
      </c>
      <c r="M729" s="49">
        <f t="shared" si="445"/>
        <v>0</v>
      </c>
      <c r="N729" s="49">
        <f t="shared" si="445"/>
        <v>0</v>
      </c>
      <c r="O729" s="49">
        <f t="shared" si="440"/>
        <v>0</v>
      </c>
      <c r="P729" s="49">
        <f t="shared" si="441"/>
        <v>0</v>
      </c>
      <c r="Q729" s="590">
        <f t="shared" ref="Q729:S730" si="446">Q732+Q735</f>
        <v>0</v>
      </c>
      <c r="R729" s="49">
        <f t="shared" si="446"/>
        <v>0</v>
      </c>
      <c r="S729" s="49">
        <f t="shared" si="446"/>
        <v>0</v>
      </c>
      <c r="T729" s="49">
        <f t="shared" si="443"/>
        <v>0</v>
      </c>
      <c r="U729" s="49">
        <f t="shared" si="444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5"/>
        <v>0</v>
      </c>
      <c r="M730" s="47">
        <f t="shared" si="445"/>
        <v>0</v>
      </c>
      <c r="N730" s="47">
        <f t="shared" si="445"/>
        <v>0</v>
      </c>
      <c r="O730" s="47">
        <f t="shared" si="440"/>
        <v>0</v>
      </c>
      <c r="P730" s="47">
        <f t="shared" si="441"/>
        <v>0</v>
      </c>
      <c r="Q730" s="588">
        <f t="shared" ca="1" si="446"/>
        <v>111882</v>
      </c>
      <c r="R730" s="47">
        <f t="shared" ca="1" si="446"/>
        <v>128382</v>
      </c>
      <c r="S730" s="47">
        <f t="shared" ca="1" si="446"/>
        <v>128382</v>
      </c>
      <c r="T730" s="47">
        <f t="shared" ca="1" si="443"/>
        <v>114.74768059205235</v>
      </c>
      <c r="U730" s="47">
        <f t="shared" ca="1" si="444"/>
        <v>100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7">L732+L733</f>
        <v>0</v>
      </c>
      <c r="M731" s="47">
        <f t="shared" si="447"/>
        <v>0</v>
      </c>
      <c r="N731" s="47">
        <f t="shared" si="447"/>
        <v>0</v>
      </c>
      <c r="O731" s="47">
        <f t="shared" si="440"/>
        <v>0</v>
      </c>
      <c r="P731" s="47">
        <f t="shared" si="441"/>
        <v>0</v>
      </c>
      <c r="Q731" s="588">
        <f t="shared" ref="Q731:S731" ca="1" si="448">Q732+Q733</f>
        <v>111882</v>
      </c>
      <c r="R731" s="47">
        <f t="shared" ca="1" si="448"/>
        <v>128382</v>
      </c>
      <c r="S731" s="47">
        <f t="shared" ca="1" si="448"/>
        <v>128382</v>
      </c>
      <c r="T731" s="47">
        <f t="shared" ca="1" si="443"/>
        <v>114.74768059205235</v>
      </c>
      <c r="U731" s="47">
        <f t="shared" ca="1" si="444"/>
        <v>100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0"/>
        <v>0</v>
      </c>
      <c r="P732" s="49">
        <f t="shared" si="441"/>
        <v>0</v>
      </c>
      <c r="Q732" s="590">
        <v>0</v>
      </c>
      <c r="R732" s="49">
        <v>0</v>
      </c>
      <c r="S732" s="49">
        <v>0</v>
      </c>
      <c r="T732" s="49">
        <f t="shared" si="443"/>
        <v>0</v>
      </c>
      <c r="U732" s="49">
        <f t="shared" si="444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0"/>
        <v>0</v>
      </c>
      <c r="P733" s="47">
        <f t="shared" si="441"/>
        <v>0</v>
      </c>
      <c r="Q733" s="588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IFERROR(__xludf.DUMMYFUNCTION("IMPORTRANGE(""https://docs.google.com/spreadsheets/d/1ItG2mGa2ceCfYo0BwxsXqNm01IGEUdYcSSLTEv9YCik/edit?usp=sharing"",""เบิกจ่ายกองทุน!P84"")"),128382)</f>
        <v>128382</v>
      </c>
      <c r="S733" s="47">
        <f ca="1">IFERROR(__xludf.DUMMYFUNCTION("IMPORTRANGE(""https://docs.google.com/spreadsheets/d/1ItG2mGa2ceCfYo0BwxsXqNm01IGEUdYcSSLTEv9YCik/edit?usp=sharing"",""เบิกจ่ายกองทุน!Q84"")"),128382)</f>
        <v>128382</v>
      </c>
      <c r="T733" s="47">
        <f t="shared" ca="1" si="443"/>
        <v>114.74768059205235</v>
      </c>
      <c r="U733" s="47">
        <f t="shared" ca="1" si="444"/>
        <v>100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49">L735+L736</f>
        <v>0</v>
      </c>
      <c r="M734" s="47">
        <f t="shared" si="449"/>
        <v>0</v>
      </c>
      <c r="N734" s="47">
        <f t="shared" si="449"/>
        <v>0</v>
      </c>
      <c r="O734" s="47">
        <f t="shared" si="440"/>
        <v>0</v>
      </c>
      <c r="P734" s="47">
        <f t="shared" si="441"/>
        <v>0</v>
      </c>
      <c r="Q734" s="588">
        <f t="shared" ref="Q734:S734" si="450">Q735+Q736</f>
        <v>0</v>
      </c>
      <c r="R734" s="47">
        <f t="shared" si="450"/>
        <v>0</v>
      </c>
      <c r="S734" s="47">
        <f t="shared" si="450"/>
        <v>0</v>
      </c>
      <c r="T734" s="47">
        <f t="shared" si="443"/>
        <v>0</v>
      </c>
      <c r="U734" s="47">
        <f t="shared" si="444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0"/>
        <v>0</v>
      </c>
      <c r="P735" s="49">
        <f t="shared" si="441"/>
        <v>0</v>
      </c>
      <c r="Q735" s="590">
        <v>0</v>
      </c>
      <c r="R735" s="49">
        <v>0</v>
      </c>
      <c r="S735" s="49">
        <v>0</v>
      </c>
      <c r="T735" s="49">
        <f t="shared" si="443"/>
        <v>0</v>
      </c>
      <c r="U735" s="49">
        <f t="shared" si="444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0"/>
        <v>0</v>
      </c>
      <c r="P736" s="47">
        <f t="shared" si="441"/>
        <v>0</v>
      </c>
      <c r="Q736" s="588">
        <v>0</v>
      </c>
      <c r="R736" s="47">
        <v>0</v>
      </c>
      <c r="S736" s="47">
        <v>0</v>
      </c>
      <c r="T736" s="47">
        <f t="shared" si="443"/>
        <v>0</v>
      </c>
      <c r="U736" s="47">
        <f t="shared" si="444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591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591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591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IFERROR(__xludf.DUMMYFUNCTION("IMPORTRANGE(""https://docs.google.com/spreadsheets/d/1eHaY18a8A9IcSdp1K8H6x8fbOy06t2VsZHhMHf-1x7Y/edit?usp=sharing"",""แผน!GB84"")"),80)</f>
        <v>80</v>
      </c>
      <c r="J740" s="795">
        <v>80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591"/>
      <c r="R740" s="46"/>
      <c r="S740" s="46"/>
      <c r="T740" s="46"/>
      <c r="U740" s="46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8</v>
      </c>
      <c r="K741" s="353"/>
      <c r="L741" s="742"/>
      <c r="M741" s="353"/>
      <c r="N741" s="353"/>
      <c r="O741" s="353"/>
      <c r="P741" s="353"/>
      <c r="Q741" s="591"/>
      <c r="R741" s="46"/>
      <c r="S741" s="46"/>
      <c r="T741" s="46"/>
      <c r="U741" s="46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IFERROR(__xludf.DUMMYFUNCTION("IMPORTRANGE(""https://docs.google.com/spreadsheets/d/1eHaY18a8A9IcSdp1K8H6x8fbOy06t2VsZHhMHf-1x7Y/edit?usp=sharing"",""แผน!GC84"")"),8)</f>
        <v>8</v>
      </c>
      <c r="J742" s="795">
        <v>8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591"/>
      <c r="R742" s="46"/>
      <c r="S742" s="46"/>
      <c r="T742" s="46"/>
      <c r="U742" s="46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591"/>
      <c r="R743" s="46"/>
      <c r="S743" s="46"/>
      <c r="T743" s="46"/>
      <c r="U743" s="46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IFERROR(__xludf.DUMMYFUNCTION("IMPORTRANGE(""https://docs.google.com/spreadsheets/d/1eHaY18a8A9IcSdp1K8H6x8fbOy06t2VsZHhMHf-1x7Y/edit?usp=sharing"",""แผน!GD84"")"),20)</f>
        <v>20</v>
      </c>
      <c r="J744" s="795">
        <v>20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591"/>
      <c r="R744" s="46"/>
      <c r="S744" s="46"/>
      <c r="T744" s="46"/>
      <c r="U744" s="46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591"/>
      <c r="R745" s="46"/>
      <c r="S745" s="46"/>
      <c r="T745" s="46"/>
      <c r="U745" s="46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IFERROR(__xludf.DUMMYFUNCTION("IMPORTRANGE(""https://docs.google.com/spreadsheets/d/1eHaY18a8A9IcSdp1K8H6x8fbOy06t2VsZHhMHf-1x7Y/edit?usp=sharing"",""แผน!GE84"")"),2)</f>
        <v>2</v>
      </c>
      <c r="J746" s="795">
        <v>2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591"/>
      <c r="R746" s="46"/>
      <c r="S746" s="46"/>
      <c r="T746" s="46"/>
      <c r="U746" s="46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591"/>
      <c r="R747" s="46"/>
      <c r="S747" s="46"/>
      <c r="T747" s="46"/>
      <c r="U747" s="46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591"/>
      <c r="R748" s="46"/>
      <c r="S748" s="46"/>
      <c r="T748" s="46"/>
      <c r="U748" s="46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IFERROR(__xludf.DUMMYFUNCTION("IMPORTRANGE(""https://docs.google.com/spreadsheets/d/1eHaY18a8A9IcSdp1K8H6x8fbOy06t2VsZHhMHf-1x7Y/edit?usp=sharing"",""แผน!GF84"")"),1)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591"/>
      <c r="R749" s="46"/>
      <c r="S749" s="46"/>
      <c r="T749" s="46"/>
      <c r="U749" s="46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591"/>
      <c r="R750" s="46"/>
      <c r="S750" s="46"/>
      <c r="T750" s="46"/>
      <c r="U750" s="46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591"/>
      <c r="R751" s="46"/>
      <c r="S751" s="46"/>
      <c r="T751" s="46"/>
      <c r="U751" s="46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IFERROR(__xludf.DUMMYFUNCTION("IMPORTRANGE(""https://docs.google.com/spreadsheets/d/1eHaY18a8A9IcSdp1K8H6x8fbOy06t2VsZHhMHf-1x7Y/edit?usp=sharing"",""แผน!GB84"")"),80)</f>
        <v>80</v>
      </c>
      <c r="J752" s="795">
        <v>80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591"/>
      <c r="R752" s="46"/>
      <c r="S752" s="46"/>
      <c r="T752" s="46"/>
      <c r="U752" s="46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591"/>
      <c r="R753" s="46"/>
      <c r="S753" s="46"/>
      <c r="T753" s="46"/>
      <c r="U753" s="46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591"/>
      <c r="R754" s="46"/>
      <c r="S754" s="46"/>
      <c r="T754" s="46"/>
      <c r="U754" s="46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IFERROR(__xludf.DUMMYFUNCTION("IMPORTRANGE(""https://docs.google.com/spreadsheets/d/1eHaY18a8A9IcSdp1K8H6x8fbOy06t2VsZHhMHf-1x7Y/edit?usp=sharing"",""แผน!GD84"")"),20)</f>
        <v>20</v>
      </c>
      <c r="J755" s="795">
        <v>20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591"/>
      <c r="R755" s="46"/>
      <c r="S755" s="46"/>
      <c r="T755" s="46"/>
      <c r="U755" s="46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0</v>
      </c>
      <c r="K756" s="353"/>
      <c r="L756" s="742"/>
      <c r="M756" s="353"/>
      <c r="N756" s="353"/>
      <c r="O756" s="353"/>
      <c r="P756" s="353"/>
      <c r="Q756" s="591"/>
      <c r="R756" s="46"/>
      <c r="S756" s="46"/>
      <c r="T756" s="46"/>
      <c r="U756" s="46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619"/>
      <c r="R757" s="137"/>
      <c r="S757" s="137"/>
      <c r="T757" s="137"/>
      <c r="U757" s="137"/>
    </row>
    <row r="758" spans="1:21" ht="19.5" hidden="1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1">I772</f>
        <v>0</v>
      </c>
      <c r="J758" s="504">
        <f t="shared" si="451"/>
        <v>0</v>
      </c>
      <c r="K758" s="505">
        <f t="shared" ref="K758:K759" ca="1" si="452">IF(I758&gt;0,J758*100/I758,0)</f>
        <v>0</v>
      </c>
      <c r="L758" s="837"/>
      <c r="M758" s="482"/>
      <c r="N758" s="482"/>
      <c r="O758" s="482"/>
      <c r="P758" s="482"/>
      <c r="Q758" s="837"/>
      <c r="R758" s="482"/>
      <c r="S758" s="482"/>
      <c r="T758" s="482"/>
      <c r="U758" s="482"/>
    </row>
    <row r="759" spans="1:21" ht="19.5" hidden="1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3">I774</f>
        <v>0</v>
      </c>
      <c r="J759" s="504">
        <f t="shared" si="453"/>
        <v>0</v>
      </c>
      <c r="K759" s="505">
        <f t="shared" ca="1" si="452"/>
        <v>0</v>
      </c>
      <c r="L759" s="837"/>
      <c r="M759" s="482"/>
      <c r="N759" s="482"/>
      <c r="O759" s="482"/>
      <c r="P759" s="482"/>
      <c r="Q759" s="837"/>
      <c r="R759" s="482"/>
      <c r="S759" s="482"/>
      <c r="T759" s="482"/>
      <c r="U759" s="482"/>
    </row>
    <row r="760" spans="1:21" ht="19.5" hidden="1" x14ac:dyDescent="0.3">
      <c r="A760" s="129"/>
      <c r="B760" s="160"/>
      <c r="C760" s="191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4">L761+L762</f>
        <v>0</v>
      </c>
      <c r="M760" s="133">
        <f t="shared" si="454"/>
        <v>0</v>
      </c>
      <c r="N760" s="133">
        <f t="shared" si="454"/>
        <v>0</v>
      </c>
      <c r="O760" s="133">
        <f t="shared" ref="O760:O768" si="455">IF(L760&gt;0,N760*100/L760,0)</f>
        <v>0</v>
      </c>
      <c r="P760" s="133">
        <f t="shared" ref="P760:P768" si="456">IF(M760&gt;0,N760*100/M760,0)</f>
        <v>0</v>
      </c>
      <c r="Q760" s="617">
        <f t="shared" ref="Q760:S760" ca="1" si="457">Q761+Q762</f>
        <v>0</v>
      </c>
      <c r="R760" s="133">
        <f t="shared" ca="1" si="457"/>
        <v>0</v>
      </c>
      <c r="S760" s="133">
        <f t="shared" ca="1" si="457"/>
        <v>0</v>
      </c>
      <c r="T760" s="133">
        <f t="shared" ref="T760:T768" ca="1" si="458">IF(Q760&gt;0,S760*100/Q760,0)</f>
        <v>0</v>
      </c>
      <c r="U760" s="133">
        <f t="shared" ref="U760:U768" ca="1" si="459">IF(R760&gt;0,S760*100/R760,0)</f>
        <v>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0">L764+L767</f>
        <v>0</v>
      </c>
      <c r="M761" s="49">
        <f t="shared" si="460"/>
        <v>0</v>
      </c>
      <c r="N761" s="49">
        <f t="shared" si="460"/>
        <v>0</v>
      </c>
      <c r="O761" s="49">
        <f t="shared" si="455"/>
        <v>0</v>
      </c>
      <c r="P761" s="49">
        <f t="shared" si="456"/>
        <v>0</v>
      </c>
      <c r="Q761" s="590">
        <f t="shared" ref="Q761:S762" si="461">Q764+Q767</f>
        <v>0</v>
      </c>
      <c r="R761" s="49">
        <f t="shared" si="461"/>
        <v>0</v>
      </c>
      <c r="S761" s="49">
        <f t="shared" si="461"/>
        <v>0</v>
      </c>
      <c r="T761" s="49">
        <f t="shared" si="458"/>
        <v>0</v>
      </c>
      <c r="U761" s="49">
        <f t="shared" si="459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0"/>
        <v>0</v>
      </c>
      <c r="M762" s="47">
        <f t="shared" si="460"/>
        <v>0</v>
      </c>
      <c r="N762" s="47">
        <f t="shared" si="460"/>
        <v>0</v>
      </c>
      <c r="O762" s="47">
        <f t="shared" si="455"/>
        <v>0</v>
      </c>
      <c r="P762" s="47">
        <f t="shared" si="456"/>
        <v>0</v>
      </c>
      <c r="Q762" s="588">
        <f t="shared" ca="1" si="461"/>
        <v>0</v>
      </c>
      <c r="R762" s="47">
        <f t="shared" ca="1" si="461"/>
        <v>0</v>
      </c>
      <c r="S762" s="47">
        <f t="shared" ca="1" si="461"/>
        <v>0</v>
      </c>
      <c r="T762" s="47">
        <f t="shared" ca="1" si="458"/>
        <v>0</v>
      </c>
      <c r="U762" s="47">
        <f t="shared" ca="1" si="459"/>
        <v>0</v>
      </c>
    </row>
    <row r="763" spans="1:21" ht="18.75" hidden="1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2">L764+L765</f>
        <v>0</v>
      </c>
      <c r="M763" s="47">
        <f t="shared" si="462"/>
        <v>0</v>
      </c>
      <c r="N763" s="47">
        <f t="shared" si="462"/>
        <v>0</v>
      </c>
      <c r="O763" s="47">
        <f t="shared" si="455"/>
        <v>0</v>
      </c>
      <c r="P763" s="47">
        <f t="shared" si="456"/>
        <v>0</v>
      </c>
      <c r="Q763" s="588">
        <f t="shared" ref="Q763:S763" ca="1" si="463">Q764+Q765</f>
        <v>0</v>
      </c>
      <c r="R763" s="47">
        <f t="shared" ca="1" si="463"/>
        <v>0</v>
      </c>
      <c r="S763" s="47">
        <f t="shared" ca="1" si="463"/>
        <v>0</v>
      </c>
      <c r="T763" s="47">
        <f t="shared" ca="1" si="458"/>
        <v>0</v>
      </c>
      <c r="U763" s="47">
        <f t="shared" ca="1" si="459"/>
        <v>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5"/>
        <v>0</v>
      </c>
      <c r="P764" s="49">
        <f t="shared" si="456"/>
        <v>0</v>
      </c>
      <c r="Q764" s="590">
        <v>0</v>
      </c>
      <c r="R764" s="49">
        <v>0</v>
      </c>
      <c r="S764" s="49">
        <v>0</v>
      </c>
      <c r="T764" s="49">
        <f t="shared" si="458"/>
        <v>0</v>
      </c>
      <c r="U764" s="49">
        <f t="shared" si="459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5"/>
        <v>0</v>
      </c>
      <c r="P765" s="47">
        <f t="shared" si="456"/>
        <v>0</v>
      </c>
      <c r="Q765" s="588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t="shared" ca="1" si="458"/>
        <v>0</v>
      </c>
      <c r="U765" s="47">
        <f t="shared" ca="1" si="459"/>
        <v>0</v>
      </c>
    </row>
    <row r="766" spans="1:21" ht="18.75" hidden="1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4">L767+L768</f>
        <v>0</v>
      </c>
      <c r="M766" s="47">
        <f t="shared" si="464"/>
        <v>0</v>
      </c>
      <c r="N766" s="47">
        <f t="shared" si="464"/>
        <v>0</v>
      </c>
      <c r="O766" s="47">
        <f t="shared" si="455"/>
        <v>0</v>
      </c>
      <c r="P766" s="47">
        <f t="shared" si="456"/>
        <v>0</v>
      </c>
      <c r="Q766" s="588">
        <f t="shared" ref="Q766:S766" si="465">Q767+Q768</f>
        <v>0</v>
      </c>
      <c r="R766" s="47">
        <f t="shared" si="465"/>
        <v>0</v>
      </c>
      <c r="S766" s="47">
        <f t="shared" si="465"/>
        <v>0</v>
      </c>
      <c r="T766" s="47">
        <f t="shared" si="458"/>
        <v>0</v>
      </c>
      <c r="U766" s="47">
        <f t="shared" si="459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5"/>
        <v>0</v>
      </c>
      <c r="P767" s="49">
        <f t="shared" si="456"/>
        <v>0</v>
      </c>
      <c r="Q767" s="590">
        <v>0</v>
      </c>
      <c r="R767" s="49">
        <v>0</v>
      </c>
      <c r="S767" s="49">
        <v>0</v>
      </c>
      <c r="T767" s="49">
        <f t="shared" si="458"/>
        <v>0</v>
      </c>
      <c r="U767" s="49">
        <f t="shared" si="459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5"/>
        <v>0</v>
      </c>
      <c r="P768" s="47">
        <f t="shared" si="456"/>
        <v>0</v>
      </c>
      <c r="Q768" s="588">
        <v>0</v>
      </c>
      <c r="R768" s="47">
        <v>0</v>
      </c>
      <c r="S768" s="47">
        <v>0</v>
      </c>
      <c r="T768" s="47">
        <f t="shared" si="458"/>
        <v>0</v>
      </c>
      <c r="U768" s="47">
        <f t="shared" si="459"/>
        <v>0</v>
      </c>
    </row>
    <row r="769" spans="1:21" ht="19.5" hidden="1" x14ac:dyDescent="0.3">
      <c r="A769" s="139"/>
      <c r="B769" s="140"/>
      <c r="C769" s="525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591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IFERROR(__xludf.DUMMYFUNCTION("IMPORTRANGE(""https://docs.google.com/spreadsheets/d/1eHaY18a8A9IcSdp1K8H6x8fbOy06t2VsZHhMHf-1x7Y/edit?usp=sharing"",""แผน!FI84"")"),1)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591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591"/>
      <c r="R771" s="46"/>
      <c r="S771" s="46"/>
      <c r="T771" s="46"/>
      <c r="U771" s="46"/>
    </row>
    <row r="772" spans="1:21" ht="18.75" hidden="1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IFERROR(__xludf.DUMMYFUNCTION("IMPORTRANGE(""https://docs.google.com/spreadsheets/d/1eHaY18a8A9IcSdp1K8H6x8fbOy06t2VsZHhMHf-1x7Y/edit?usp=sharing"",""แผน!FQ84"")"),0)</f>
        <v>0</v>
      </c>
      <c r="J772" s="169">
        <v>0</v>
      </c>
      <c r="K772" s="47">
        <f ca="1">IF(I772&gt;0,J772*100/I772,0)</f>
        <v>0</v>
      </c>
      <c r="L772" s="591"/>
      <c r="M772" s="46"/>
      <c r="N772" s="46"/>
      <c r="O772" s="46"/>
      <c r="P772" s="46"/>
      <c r="Q772" s="591"/>
      <c r="R772" s="46"/>
      <c r="S772" s="46"/>
      <c r="T772" s="46"/>
      <c r="U772" s="46"/>
    </row>
    <row r="773" spans="1:21" ht="18.75" hidden="1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591"/>
      <c r="R773" s="46"/>
      <c r="S773" s="46"/>
      <c r="T773" s="46"/>
      <c r="U773" s="46"/>
    </row>
    <row r="774" spans="1:21" ht="18.75" hidden="1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IFERROR(__xludf.DUMMYFUNCTION("IMPORTRANGE(""https://docs.google.com/spreadsheets/d/1eHaY18a8A9IcSdp1K8H6x8fbOy06t2VsZHhMHf-1x7Y/edit?usp=sharing"",""แผน!FR84"")"),0)</f>
        <v>0</v>
      </c>
      <c r="J774" s="169">
        <v>0</v>
      </c>
      <c r="K774" s="47">
        <f ca="1">IF(I774&gt;0,J774*100/I774,0)</f>
        <v>0</v>
      </c>
      <c r="L774" s="591"/>
      <c r="M774" s="46"/>
      <c r="N774" s="46"/>
      <c r="O774" s="46"/>
      <c r="P774" s="46"/>
      <c r="Q774" s="591"/>
      <c r="R774" s="46"/>
      <c r="S774" s="46"/>
      <c r="T774" s="46"/>
      <c r="U774" s="46"/>
    </row>
    <row r="775" spans="1:21" ht="18.75" hidden="1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IFERROR(__xludf.DUMMYFUNCTION("IMPORTRANGE(""https://docs.google.com/spreadsheets/d/1eHaY18a8A9IcSdp1K8H6x8fbOy06t2VsZHhMHf-1x7Y/edit?usp=sharing"",""แผน!FS84"")"),0)</f>
        <v>0</v>
      </c>
      <c r="J775" s="169">
        <v>0</v>
      </c>
      <c r="K775" s="46"/>
      <c r="L775" s="591"/>
      <c r="M775" s="46"/>
      <c r="N775" s="46"/>
      <c r="O775" s="46"/>
      <c r="P775" s="46"/>
      <c r="Q775" s="591"/>
      <c r="R775" s="46"/>
      <c r="S775" s="46"/>
      <c r="T775" s="46"/>
      <c r="U775" s="46"/>
    </row>
    <row r="776" spans="1:21" ht="18.75" hidden="1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IFERROR(__xludf.DUMMYFUNCTION("IMPORTRANGE(""https://docs.google.com/spreadsheets/d/1eHaY18a8A9IcSdp1K8H6x8fbOy06t2VsZHhMHf-1x7Y/edit?usp=sharing"",""แผน!FT84"")"),0)</f>
        <v>0</v>
      </c>
      <c r="J776" s="378">
        <v>0</v>
      </c>
      <c r="K776" s="4"/>
      <c r="L776" s="592"/>
      <c r="M776" s="4"/>
      <c r="N776" s="4"/>
      <c r="O776" s="4"/>
      <c r="P776" s="4"/>
      <c r="Q776" s="592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920"/>
      <c r="R777" s="921"/>
      <c r="S777" s="921"/>
      <c r="T777" s="921"/>
      <c r="U777" s="921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372">
        <f ca="1">IFERROR(__xludf.DUMMYFUNCTION("IMPORTRANGE(""https://docs.google.com/spreadsheets/d/10OvvATaaLtwErnr3qtWFcTmtbfpFEt5Bsqel9sXx0uE/edit?usp=sharing"",""งานกองทุน!F84"")"),451616.36)</f>
        <v>451616.36</v>
      </c>
      <c r="K778" s="47">
        <f t="shared" ref="K778:K785" ca="1" si="466">IF(I778&gt;0,J778*100/I778,0)</f>
        <v>98.447272877169695</v>
      </c>
      <c r="L778" s="46"/>
      <c r="M778" s="46"/>
      <c r="N778" s="46"/>
      <c r="O778" s="46"/>
      <c r="P778" s="46"/>
      <c r="Q778" s="591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IFERROR(__xludf.DUMMYFUNCTION("IMPORTRANGE(""https://docs.google.com/spreadsheets/d/10OvvATaaLtwErnr3qtWFcTmtbfpFEt5Bsqel9sXx0uE/edit?usp=sharing"",""งานกองทุน!C84"")"),46)</f>
        <v>46</v>
      </c>
      <c r="J779" s="372">
        <f ca="1">IFERROR(__xludf.DUMMYFUNCTION("IMPORTRANGE(""https://docs.google.com/spreadsheets/d/10OvvATaaLtwErnr3qtWFcTmtbfpFEt5Bsqel9sXx0uE/edit?usp=sharing"",""งานกองทุน!E84"")"),46)</f>
        <v>46</v>
      </c>
      <c r="K779" s="47">
        <f t="shared" ca="1" si="466"/>
        <v>100</v>
      </c>
      <c r="L779" s="46"/>
      <c r="M779" s="46"/>
      <c r="N779" s="46"/>
      <c r="O779" s="46"/>
      <c r="P779" s="46"/>
      <c r="Q779" s="591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37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t="shared" ca="1" si="466"/>
        <v>100</v>
      </c>
      <c r="L780" s="46"/>
      <c r="M780" s="46"/>
      <c r="N780" s="46"/>
      <c r="O780" s="46"/>
      <c r="P780" s="46"/>
      <c r="Q780" s="591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IFERROR(__xludf.DUMMYFUNCTION("IMPORTRANGE(""https://docs.google.com/spreadsheets/d/10OvvATaaLtwErnr3qtWFcTmtbfpFEt5Bsqel9sXx0uE/edit?usp=sharing"",""งานกองทุน!H84"")"),3)</f>
        <v>3</v>
      </c>
      <c r="J781" s="37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t="shared" ca="1" si="466"/>
        <v>100</v>
      </c>
      <c r="L781" s="46"/>
      <c r="M781" s="46"/>
      <c r="N781" s="46"/>
      <c r="O781" s="46"/>
      <c r="P781" s="46"/>
      <c r="Q781" s="591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IFERROR(__xludf.DUMMYFUNCTION("IMPORTRANGE(""https://docs.google.com/spreadsheets/d/10OvvATaaLtwErnr3qtWFcTmtbfpFEt5Bsqel9sXx0uE/edit?usp=sharing"",""งานกองทุน!N84"")"),64187.59)</f>
        <v>64187.59</v>
      </c>
      <c r="J782" s="372">
        <f ca="1">IFERROR(__xludf.DUMMYFUNCTION("IMPORTRANGE(""https://docs.google.com/spreadsheets/d/10OvvATaaLtwErnr3qtWFcTmtbfpFEt5Bsqel9sXx0uE/edit?usp=sharing"",""งานกองทุน!P84"")"),30206.03)</f>
        <v>30206.03</v>
      </c>
      <c r="K782" s="47">
        <f t="shared" ca="1" si="466"/>
        <v>47.058987570650345</v>
      </c>
      <c r="L782" s="46"/>
      <c r="M782" s="46"/>
      <c r="N782" s="46"/>
      <c r="O782" s="46"/>
      <c r="P782" s="46"/>
      <c r="Q782" s="591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IFERROR(__xludf.DUMMYFUNCTION("IMPORTRANGE(""https://docs.google.com/spreadsheets/d/10OvvATaaLtwErnr3qtWFcTmtbfpFEt5Bsqel9sXx0uE/edit?usp=sharing"",""งานกองทุน!M84"")"),149)</f>
        <v>149</v>
      </c>
      <c r="J783" s="372">
        <f ca="1">IFERROR(__xludf.DUMMYFUNCTION("IMPORTRANGE(""https://docs.google.com/spreadsheets/d/10OvvATaaLtwErnr3qtWFcTmtbfpFEt5Bsqel9sXx0uE/edit?usp=sharing"",""งานกองทุน!O84"")"),27)</f>
        <v>27</v>
      </c>
      <c r="K783" s="47">
        <f t="shared" ca="1" si="466"/>
        <v>18.120805369127517</v>
      </c>
      <c r="L783" s="46"/>
      <c r="M783" s="46"/>
      <c r="N783" s="46"/>
      <c r="O783" s="46"/>
      <c r="P783" s="46"/>
      <c r="Q783" s="591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IFERROR(__xludf.DUMMYFUNCTION("IMPORTRANGE(""https://docs.google.com/spreadsheets/d/10OvvATaaLtwErnr3qtWFcTmtbfpFEt5Bsqel9sXx0uE/edit?usp=sharing"",""งานกองทุน!S84"")"),1372000)</f>
        <v>1372000</v>
      </c>
      <c r="J784" s="37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t="shared" ca="1" si="466"/>
        <v>102.04081632653062</v>
      </c>
      <c r="L784" s="46"/>
      <c r="M784" s="46"/>
      <c r="N784" s="46"/>
      <c r="O784" s="46"/>
      <c r="P784" s="46"/>
      <c r="Q784" s="591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IFERROR(__xludf.DUMMYFUNCTION("IMPORTRANGE(""https://docs.google.com/spreadsheets/d/10OvvATaaLtwErnr3qtWFcTmtbfpFEt5Bsqel9sXx0uE/edit?usp=sharing"",""งานกองทุน!R84"")"),49)</f>
        <v>49</v>
      </c>
      <c r="J785" s="205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t="shared" ca="1" si="466"/>
        <v>57.142857142857146</v>
      </c>
      <c r="L785" s="4"/>
      <c r="M785" s="4"/>
      <c r="N785" s="4"/>
      <c r="O785" s="4"/>
      <c r="P785" s="4"/>
      <c r="Q785" s="592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D5B6-3CB0-46F9-A331-7BE5AEC74CC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330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2976450</v>
      </c>
      <c r="M18" s="35">
        <f t="shared" ca="1" si="0"/>
        <v>3127066</v>
      </c>
      <c r="N18" s="35">
        <f t="shared" ca="1" si="0"/>
        <v>2912316.78</v>
      </c>
      <c r="O18" s="35">
        <f t="shared" ref="O18:O26" ca="1" si="1">IF(L18&gt;0,N18*100/L18,0)</f>
        <v>97.845311696820033</v>
      </c>
      <c r="P18" s="35">
        <f t="shared" ref="P18:P26" ca="1" si="2">IF(M18&gt;0,N18*100/M18,0)</f>
        <v>93.132565158522397</v>
      </c>
      <c r="Q18" s="35">
        <f t="shared" ref="Q18:S18" ca="1" si="3">Q19+Q20</f>
        <v>1150425</v>
      </c>
      <c r="R18" s="35">
        <f t="shared" ca="1" si="3"/>
        <v>1080245.0899999999</v>
      </c>
      <c r="S18" s="35">
        <f t="shared" ca="1" si="3"/>
        <v>766529.09</v>
      </c>
      <c r="T18" s="35">
        <f t="shared" ref="T18:T26" ca="1" si="4">IF(Q18&gt;0,S18*100/Q18,0)</f>
        <v>66.630079318512728</v>
      </c>
      <c r="U18" s="35">
        <f t="shared" ref="U18:U26" ca="1" si="5">IF(R18&gt;0,S18*100/R18,0)</f>
        <v>70.958812689442553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2976450</v>
      </c>
      <c r="M20" s="39">
        <f t="shared" ca="1" si="6"/>
        <v>3127066</v>
      </c>
      <c r="N20" s="39">
        <f t="shared" ca="1" si="6"/>
        <v>2912316.78</v>
      </c>
      <c r="O20" s="39">
        <f t="shared" ca="1" si="1"/>
        <v>97.845311696820033</v>
      </c>
      <c r="P20" s="39">
        <f t="shared" ca="1" si="2"/>
        <v>93.132565158522397</v>
      </c>
      <c r="Q20" s="39">
        <f t="shared" ca="1" si="7"/>
        <v>1150425</v>
      </c>
      <c r="R20" s="39">
        <f t="shared" ca="1" si="7"/>
        <v>1080245.0899999999</v>
      </c>
      <c r="S20" s="39">
        <f t="shared" ca="1" si="7"/>
        <v>766529.09</v>
      </c>
      <c r="T20" s="39">
        <f t="shared" ca="1" si="4"/>
        <v>66.630079318512728</v>
      </c>
      <c r="U20" s="39">
        <f t="shared" ca="1" si="5"/>
        <v>70.958812689442553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2084950</v>
      </c>
      <c r="M21" s="47">
        <f t="shared" ca="1" si="8"/>
        <v>2235566</v>
      </c>
      <c r="N21" s="47">
        <f t="shared" ca="1" si="8"/>
        <v>2020816.7799999998</v>
      </c>
      <c r="O21" s="47">
        <f t="shared" ca="1" si="1"/>
        <v>96.923992421880612</v>
      </c>
      <c r="P21" s="47">
        <f t="shared" ca="1" si="2"/>
        <v>90.393966449659715</v>
      </c>
      <c r="Q21" s="47">
        <f t="shared" ref="Q21:S21" ca="1" si="9">Q22+Q23</f>
        <v>890425</v>
      </c>
      <c r="R21" s="47">
        <f t="shared" ca="1" si="9"/>
        <v>820245.09</v>
      </c>
      <c r="S21" s="47">
        <f t="shared" ca="1" si="9"/>
        <v>766529.09</v>
      </c>
      <c r="T21" s="47">
        <f t="shared" ca="1" si="4"/>
        <v>86.085755678468146</v>
      </c>
      <c r="U21" s="47">
        <f t="shared" ca="1" si="5"/>
        <v>93.451225657443445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2084950</v>
      </c>
      <c r="M23" s="47">
        <f t="shared" ca="1" si="12"/>
        <v>2235566</v>
      </c>
      <c r="N23" s="47">
        <f t="shared" ca="1" si="12"/>
        <v>2020816.7799999998</v>
      </c>
      <c r="O23" s="47">
        <f t="shared" ca="1" si="1"/>
        <v>96.923992421880612</v>
      </c>
      <c r="P23" s="47">
        <f t="shared" ca="1" si="2"/>
        <v>90.393966449659715</v>
      </c>
      <c r="Q23" s="47">
        <f t="shared" ca="1" si="11"/>
        <v>890425</v>
      </c>
      <c r="R23" s="47">
        <f t="shared" ca="1" si="11"/>
        <v>820245.09</v>
      </c>
      <c r="S23" s="47">
        <f t="shared" ca="1" si="11"/>
        <v>766529.09</v>
      </c>
      <c r="T23" s="47">
        <f t="shared" ca="1" si="4"/>
        <v>86.085755678468146</v>
      </c>
      <c r="U23" s="47">
        <f t="shared" ca="1" si="5"/>
        <v>93.451225657443445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891500</v>
      </c>
      <c r="M24" s="47">
        <f t="shared" ca="1" si="13"/>
        <v>891500</v>
      </c>
      <c r="N24" s="47">
        <f t="shared" ca="1" si="13"/>
        <v>891500</v>
      </c>
      <c r="O24" s="47">
        <f t="shared" ca="1" si="1"/>
        <v>100</v>
      </c>
      <c r="P24" s="47">
        <f t="shared" ca="1" si="2"/>
        <v>100</v>
      </c>
      <c r="Q24" s="47">
        <f t="shared" ref="Q24:S24" ca="1" si="14">Q25+Q26</f>
        <v>260000</v>
      </c>
      <c r="R24" s="47">
        <f t="shared" ca="1" si="14"/>
        <v>260000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891500</v>
      </c>
      <c r="M26" s="47">
        <f t="shared" ca="1" si="17"/>
        <v>891500</v>
      </c>
      <c r="N26" s="47">
        <f t="shared" ca="1" si="17"/>
        <v>891500</v>
      </c>
      <c r="O26" s="47">
        <f t="shared" ca="1" si="1"/>
        <v>100</v>
      </c>
      <c r="P26" s="47">
        <f t="shared" ca="1" si="2"/>
        <v>100</v>
      </c>
      <c r="Q26" s="49">
        <f t="shared" ca="1" si="16"/>
        <v>260000</v>
      </c>
      <c r="R26" s="49">
        <f t="shared" ca="1" si="16"/>
        <v>260000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2965470</v>
      </c>
      <c r="M40" s="594">
        <f t="shared" ca="1" si="18"/>
        <v>3116086</v>
      </c>
      <c r="N40" s="594">
        <f t="shared" ca="1" si="18"/>
        <v>2907056.78</v>
      </c>
      <c r="O40" s="594">
        <f ca="1">IF(L40&gt;0,N40*100/L40,0)</f>
        <v>98.030220504675484</v>
      </c>
      <c r="P40" s="594">
        <f ca="1">IF(M40&gt;0,N40*100/M40,0)</f>
        <v>93.29193032541464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212200</v>
      </c>
      <c r="M44" s="79">
        <f t="shared" ca="1" si="19"/>
        <v>209676</v>
      </c>
      <c r="N44" s="79">
        <f t="shared" ca="1" si="19"/>
        <v>189676</v>
      </c>
      <c r="O44" s="79">
        <f t="shared" ref="O44:O52" ca="1" si="20">IF(L44&gt;0,N44*100/L44,0)</f>
        <v>89.385485391140435</v>
      </c>
      <c r="P44" s="79">
        <f t="shared" ref="P44:P52" ca="1" si="21">IF(M44&gt;0,N44*100/M44,0)</f>
        <v>90.461473893054048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212200</v>
      </c>
      <c r="M46" s="83">
        <f t="shared" ca="1" si="25"/>
        <v>209676</v>
      </c>
      <c r="N46" s="83">
        <f t="shared" ca="1" si="25"/>
        <v>189676</v>
      </c>
      <c r="O46" s="83">
        <f t="shared" ca="1" si="20"/>
        <v>89.385485391140435</v>
      </c>
      <c r="P46" s="83">
        <f t="shared" ca="1" si="21"/>
        <v>90.461473893054048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212200</v>
      </c>
      <c r="M47" s="47">
        <f t="shared" ca="1" si="27"/>
        <v>209676</v>
      </c>
      <c r="N47" s="47">
        <f t="shared" ca="1" si="27"/>
        <v>189676</v>
      </c>
      <c r="O47" s="47">
        <f t="shared" ca="1" si="20"/>
        <v>89.385485391140435</v>
      </c>
      <c r="P47" s="47">
        <f t="shared" ca="1" si="21"/>
        <v>90.461473893054048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IFERROR(__xludf.DUMMYFUNCTION("IMPORTRANGE(""https://docs.google.com/spreadsheets/d/1-uDff_7J0KD5mKrp0Vvzr7lt3OU09vwQwhkpOPPYv2Y/edit?usp=sharing"",""งบพรบ!V85"")"),209676)</f>
        <v>209676</v>
      </c>
      <c r="N49" s="47">
        <f ca="1">IFERROR(__xludf.DUMMYFUNCTION("IMPORTRANGE(""https://docs.google.com/spreadsheets/d/1-uDff_7J0KD5mKrp0Vvzr7lt3OU09vwQwhkpOPPYv2Y/edit?usp=sharing"",""งบพรบ!Y85"")"),189676)</f>
        <v>189676</v>
      </c>
      <c r="O49" s="47">
        <f t="shared" ca="1" si="20"/>
        <v>89.385485391140435</v>
      </c>
      <c r="P49" s="47">
        <f t="shared" ca="1" si="21"/>
        <v>90.461473893054048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690800</v>
      </c>
      <c r="M59" s="106">
        <f t="shared" ca="1" si="31"/>
        <v>713180</v>
      </c>
      <c r="N59" s="106">
        <f t="shared" ca="1" si="31"/>
        <v>683440.75</v>
      </c>
      <c r="O59" s="106">
        <f t="shared" ref="O59:O67" ca="1" si="32">IF(L59&gt;0,N59*100/L59,0)</f>
        <v>98.93467718587145</v>
      </c>
      <c r="P59" s="106">
        <f t="shared" ref="P59:P67" ca="1" si="33">IF(M59&gt;0,N59*100/M59,0)</f>
        <v>95.830049917271936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690800</v>
      </c>
      <c r="M61" s="109">
        <f t="shared" ca="1" si="37"/>
        <v>713180</v>
      </c>
      <c r="N61" s="109">
        <f t="shared" ca="1" si="37"/>
        <v>683440.75</v>
      </c>
      <c r="O61" s="109">
        <f t="shared" ca="1" si="32"/>
        <v>98.93467718587145</v>
      </c>
      <c r="P61" s="109">
        <f t="shared" ca="1" si="33"/>
        <v>95.830049917271936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649300</v>
      </c>
      <c r="M62" s="47">
        <f t="shared" ca="1" si="39"/>
        <v>671680</v>
      </c>
      <c r="N62" s="47">
        <f t="shared" ca="1" si="39"/>
        <v>641940.75</v>
      </c>
      <c r="O62" s="47">
        <f t="shared" ca="1" si="32"/>
        <v>98.866587093793314</v>
      </c>
      <c r="P62" s="47">
        <f t="shared" ca="1" si="33"/>
        <v>95.572407991900903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IFERROR(__xludf.DUMMYFUNCTION("IMPORTRANGE(""https://docs.google.com/spreadsheets/d/1-uDff_7J0KD5mKrp0Vvzr7lt3OU09vwQwhkpOPPYv2Y/edit?usp=sharing"",""งบพรบ!AH85"")"),671680)</f>
        <v>671680</v>
      </c>
      <c r="N64" s="47">
        <f ca="1">IFERROR(__xludf.DUMMYFUNCTION("IMPORTRANGE(""https://docs.google.com/spreadsheets/d/1-uDff_7J0KD5mKrp0Vvzr7lt3OU09vwQwhkpOPPYv2Y/edit?usp=sharing"",""งบพรบ!AJ85"")"),641940.75)</f>
        <v>641940.75</v>
      </c>
      <c r="O64" s="47">
        <f t="shared" ca="1" si="32"/>
        <v>98.866587093793314</v>
      </c>
      <c r="P64" s="47">
        <f t="shared" ca="1" si="33"/>
        <v>95.572407991900903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41500</v>
      </c>
      <c r="M65" s="47">
        <f t="shared" ca="1" si="41"/>
        <v>41500</v>
      </c>
      <c r="N65" s="47">
        <f t="shared" ca="1" si="41"/>
        <v>41500</v>
      </c>
      <c r="O65" s="47">
        <f t="shared" ca="1" si="32"/>
        <v>100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IFERROR(__xludf.DUMMYFUNCTION("IMPORTRANGE(""https://docs.google.com/spreadsheets/d/1-uDff_7J0KD5mKrp0Vvzr7lt3OU09vwQwhkpOPPYv2Y/edit?usp=sharing"",""งบพรบ!AK85"")"),41500)</f>
        <v>41500</v>
      </c>
      <c r="O67" s="111">
        <f t="shared" ca="1" si="32"/>
        <v>100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IFERROR(__xludf.DUMMYFUNCTION("IMPORTRANGE(""https://docs.google.com/spreadsheets/d/1eHaY18a8A9IcSdp1K8H6x8fbOy06t2VsZHhMHf-1x7Y/edit?usp=sharing"",""แผน!H85"")"),0)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IFERROR(__xludf.DUMMYFUNCTION("IMPORTRANGE(""https://docs.google.com/spreadsheets/d/1eHaY18a8A9IcSdp1K8H6x8fbOy06t2VsZHhMHf-1x7Y/edit?usp=sharing"",""แผน!I85"")"),0)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IFERROR(__xludf.DUMMYFUNCTION("IMPORTRANGE(""https://docs.google.com/spreadsheets/d/1eHaY18a8A9IcSdp1K8H6x8fbOy06t2VsZHhMHf-1x7Y/edit?usp=sharing"",""แผน!F85"")"),0)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IFERROR(__xludf.DUMMYFUNCTION("IMPORTRANGE(""https://docs.google.com/spreadsheets/d/1eHaY18a8A9IcSdp1K8H6x8fbOy06t2VsZHhMHf-1x7Y/edit?usp=sharing"",""แผน!G85"")"),0)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IFERROR(__xludf.DUMMYFUNCTION("IMPORTRANGE(""https://docs.google.com/spreadsheets/d/1eHaY18a8A9IcSdp1K8H6x8fbOy06t2VsZHhMHf-1x7Y/edit?usp=sharing"",""แผน!D85"")"),0)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IFERROR(__xludf.DUMMYFUNCTION("IMPORTRANGE(""https://docs.google.com/spreadsheets/d/1eHaY18a8A9IcSdp1K8H6x8fbOy06t2VsZHhMHf-1x7Y/edit?usp=sharing"",""แผน!E85"")"),0)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IFERROR(__xludf.DUMMYFUNCTION("IMPORTRANGE(""https://docs.google.com/spreadsheets/d/1eHaY18a8A9IcSdp1K8H6x8fbOy06t2VsZHhMHf-1x7Y/edit?usp=sharing"",""แผน!J85"")"),0)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IFERROR(__xludf.DUMMYFUNCTION("IMPORTRANGE(""https://docs.google.com/spreadsheets/d/1eHaY18a8A9IcSdp1K8H6x8fbOy06t2VsZHhMHf-1x7Y/edit?usp=sharing"",""แผน!N85"")"),0)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IFERROR(__xludf.DUMMYFUNCTION("IMPORTRANGE(""https://docs.google.com/spreadsheets/d/1eHaY18a8A9IcSdp1K8H6x8fbOy06t2VsZHhMHf-1x7Y/edit?usp=sharing"",""แผน!O85"")"),0)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IFERROR(__xludf.DUMMYFUNCTION("IMPORTRANGE(""https://docs.google.com/spreadsheets/d/1eHaY18a8A9IcSdp1K8H6x8fbOy06t2VsZHhMHf-1x7Y/edit?usp=sharing"",""แผน!R85"")"),0)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15</v>
      </c>
      <c r="J116" s="128">
        <f t="shared" si="74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191460</v>
      </c>
      <c r="R117" s="133">
        <f t="shared" ca="1" si="78"/>
        <v>191460</v>
      </c>
      <c r="S117" s="133">
        <f t="shared" ca="1" si="78"/>
        <v>166736</v>
      </c>
      <c r="T117" s="133">
        <f t="shared" ref="T117:T125" ca="1" si="79">IF(Q117&gt;0,S117*100/Q117,0)</f>
        <v>87.086597722761937</v>
      </c>
      <c r="U117" s="133">
        <f t="shared" ref="U117:U125" ca="1" si="80">IF(R117&gt;0,S117*100/R117,0)</f>
        <v>87.086597722761937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191460</v>
      </c>
      <c r="R119" s="47">
        <f t="shared" ca="1" si="82"/>
        <v>191460</v>
      </c>
      <c r="S119" s="47">
        <f t="shared" ca="1" si="82"/>
        <v>166736</v>
      </c>
      <c r="T119" s="47">
        <f t="shared" ca="1" si="79"/>
        <v>87.086597722761937</v>
      </c>
      <c r="U119" s="47">
        <f t="shared" ca="1" si="80"/>
        <v>87.086597722761937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191460</v>
      </c>
      <c r="R120" s="47">
        <f t="shared" ca="1" si="84"/>
        <v>191460</v>
      </c>
      <c r="S120" s="47">
        <f t="shared" ca="1" si="84"/>
        <v>166736</v>
      </c>
      <c r="T120" s="47">
        <f t="shared" ca="1" si="79"/>
        <v>87.086597722761937</v>
      </c>
      <c r="U120" s="47">
        <f t="shared" ca="1" si="80"/>
        <v>87.086597722761937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IFERROR(__xludf.DUMMYFUNCTION("IMPORTRANGE(""https://docs.google.com/spreadsheets/d/1ItG2mGa2ceCfYo0BwxsXqNm01IGEUdYcSSLTEv9YCik/edit?usp=sharing"",""เบิกจ่ายกองทุน!W85"")"),166736)</f>
        <v>166736</v>
      </c>
      <c r="T122" s="47">
        <f t="shared" ca="1" si="79"/>
        <v>87.086597722761937</v>
      </c>
      <c r="U122" s="47">
        <f t="shared" ca="1" si="80"/>
        <v>87.086597722761937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IFERROR(__xludf.DUMMYFUNCTION("IMPORTRANGE(""https://docs.google.com/spreadsheets/d/1eHaY18a8A9IcSdp1K8H6x8fbOy06t2VsZHhMHf-1x7Y/edit?usp=sharing"",""แผน!FF85"")"),15)</f>
        <v>15</v>
      </c>
      <c r="J127" s="169">
        <v>15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IFERROR(__xludf.DUMMYFUNCTION("IMPORTRANGE(""https://docs.google.com/spreadsheets/d/1eHaY18a8A9IcSdp1K8H6x8fbOy06t2VsZHhMHf-1x7Y/edit?usp=sharing"",""แผน!FG85"")"),1)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IFERROR(__xludf.DUMMYFUNCTION("IMPORTRANGE(""https://docs.google.com/spreadsheets/d/1eHaY18a8A9IcSdp1K8H6x8fbOy06t2VsZHhMHf-1x7Y/edit?usp=sharing"",""แผน!FH85"")"),15)</f>
        <v>15</v>
      </c>
      <c r="J129" s="169">
        <v>15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IFERROR(__xludf.DUMMYFUNCTION("IMPORTRANGE(""https://docs.google.com/spreadsheets/d/1eHaY18a8A9IcSdp1K8H6x8fbOy06t2VsZHhMHf-1x7Y/edit?usp=sharing"",""แผน!FI85"")"),1)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2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30</v>
      </c>
      <c r="J137" s="128">
        <f t="shared" si="90"/>
        <v>30</v>
      </c>
      <c r="K137" s="35">
        <f t="shared" ca="1" si="89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3</v>
      </c>
      <c r="J138" s="128">
        <f t="shared" si="90"/>
        <v>3</v>
      </c>
      <c r="K138" s="35">
        <f t="shared" ca="1" si="89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66500</v>
      </c>
      <c r="M139" s="133">
        <f t="shared" ca="1" si="91"/>
        <v>61500</v>
      </c>
      <c r="N139" s="133">
        <f t="shared" ca="1" si="91"/>
        <v>61500</v>
      </c>
      <c r="O139" s="133">
        <f t="shared" ref="O139:O147" ca="1" si="92">IF(L139&gt;0,N139*100/L139,0)</f>
        <v>92.481203007518801</v>
      </c>
      <c r="P139" s="133">
        <f t="shared" ref="P139:P147" ca="1" si="93">IF(M139&gt;0,N139*100/M139,0)</f>
        <v>100</v>
      </c>
      <c r="Q139" s="133">
        <f t="shared" ref="Q139:S139" ca="1" si="94">Q140+Q141</f>
        <v>304860</v>
      </c>
      <c r="R139" s="133">
        <f t="shared" ca="1" si="94"/>
        <v>304860</v>
      </c>
      <c r="S139" s="133">
        <f t="shared" ca="1" si="94"/>
        <v>21320</v>
      </c>
      <c r="T139" s="133">
        <f t="shared" ref="T139:T147" ca="1" si="95">IF(Q139&gt;0,S139*100/Q139,0)</f>
        <v>6.9933740077412585</v>
      </c>
      <c r="U139" s="133">
        <f t="shared" ref="U139:U147" ca="1" si="96">IF(R139&gt;0,S139*100/R139,0)</f>
        <v>6.9933740077412585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66500</v>
      </c>
      <c r="M141" s="47">
        <f t="shared" ca="1" si="97"/>
        <v>61500</v>
      </c>
      <c r="N141" s="47">
        <f t="shared" ca="1" si="97"/>
        <v>61500</v>
      </c>
      <c r="O141" s="47">
        <f t="shared" ca="1" si="92"/>
        <v>92.481203007518801</v>
      </c>
      <c r="P141" s="47">
        <f t="shared" ca="1" si="93"/>
        <v>100</v>
      </c>
      <c r="Q141" s="47">
        <f t="shared" ca="1" si="98"/>
        <v>304860</v>
      </c>
      <c r="R141" s="47">
        <f t="shared" ca="1" si="98"/>
        <v>304860</v>
      </c>
      <c r="S141" s="47">
        <f t="shared" ca="1" si="98"/>
        <v>21320</v>
      </c>
      <c r="T141" s="47">
        <f t="shared" ca="1" si="95"/>
        <v>6.9933740077412585</v>
      </c>
      <c r="U141" s="47">
        <f t="shared" ca="1" si="96"/>
        <v>6.9933740077412585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66500</v>
      </c>
      <c r="M142" s="47">
        <f t="shared" ca="1" si="99"/>
        <v>61500</v>
      </c>
      <c r="N142" s="47">
        <f t="shared" ca="1" si="99"/>
        <v>61500</v>
      </c>
      <c r="O142" s="47">
        <f t="shared" ca="1" si="92"/>
        <v>92.481203007518801</v>
      </c>
      <c r="P142" s="47">
        <f t="shared" ca="1" si="93"/>
        <v>100</v>
      </c>
      <c r="Q142" s="47">
        <f t="shared" ref="Q142:S142" ca="1" si="100">Q143+Q144</f>
        <v>44860</v>
      </c>
      <c r="R142" s="47">
        <f t="shared" ca="1" si="100"/>
        <v>44860</v>
      </c>
      <c r="S142" s="47">
        <f t="shared" ca="1" si="100"/>
        <v>21320</v>
      </c>
      <c r="T142" s="47">
        <f t="shared" ca="1" si="95"/>
        <v>47.525635309852873</v>
      </c>
      <c r="U142" s="47">
        <f t="shared" ca="1" si="96"/>
        <v>47.525635309852873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IFERROR(__xludf.DUMMYFUNCTION("IMPORTRANGE(""https://docs.google.com/spreadsheets/d/1-uDff_7J0KD5mKrp0Vvzr7lt3OU09vwQwhkpOPPYv2Y/edit?usp=sharing"",""งบพรบ!BX85"")"),61500)</f>
        <v>61500</v>
      </c>
      <c r="O144" s="47">
        <f t="shared" ca="1" si="92"/>
        <v>92.481203007518801</v>
      </c>
      <c r="P144" s="47">
        <f t="shared" ca="1" si="93"/>
        <v>100</v>
      </c>
      <c r="Q144" s="47">
        <f ca="1">IFERROR(__xludf.DUMMYFUNCTION("IMPORTRANGE(""https://docs.google.com/spreadsheets/d/1ItG2mGa2ceCfYo0BwxsXqNm01IGEUdYcSSLTEv9YCik/edit?usp=sharing"",""เบิกจ่ายกองทุน!CF85"")"),44860)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IFERROR(__xludf.DUMMYFUNCTION("IMPORTRANGE(""https://docs.google.com/spreadsheets/d/1ItG2mGa2ceCfYo0BwxsXqNm01IGEUdYcSSLTEv9YCik/edit?usp=sharing"",""เบิกจ่ายกองทุน!CG85"")"),44860)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IFERROR(__xludf.DUMMYFUNCTION("IMPORTRANGE(""https://docs.google.com/spreadsheets/d/1ItG2mGa2ceCfYo0BwxsXqNm01IGEUdYcSSLTEv9YCik/edit?usp=sharing"",""เบิกจ่ายกองทุน!CH85"")"),21320)</f>
        <v>21320</v>
      </c>
      <c r="T144" s="47">
        <f t="shared" ca="1" si="95"/>
        <v>47.525635309852873</v>
      </c>
      <c r="U144" s="47">
        <f t="shared" ca="1" si="96"/>
        <v>47.525635309852873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260000</v>
      </c>
      <c r="R145" s="47">
        <f t="shared" ca="1" si="102"/>
        <v>260000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IFERROR(__xludf.DUMMYFUNCTION("IMPORTRANGE(""https://docs.google.com/spreadsheets/d/1ItG2mGa2ceCfYo0BwxsXqNm01IGEUdYcSSLTEv9YCik/edit?usp=sharing"",""เบิกจ่ายกองทุน!CI85"")"),260000)</f>
        <v>260000</v>
      </c>
      <c r="R147" s="47">
        <f ca="1">IFERROR(__xludf.DUMMYFUNCTION("IMPORTRANGE(""https://docs.google.com/spreadsheets/d/1ItG2mGa2ceCfYo0BwxsXqNm01IGEUdYcSSLTEv9YCik/edit?usp=sharing"",""เบิกจ่ายกองทุน!CJ85"")"),260000)</f>
        <v>260000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t="shared" ca="1" si="95"/>
        <v>0</v>
      </c>
      <c r="U147" s="47">
        <f t="shared" ca="1" si="96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IFERROR(__xludf.DUMMYFUNCTION("IMPORTRANGE(""https://docs.google.com/spreadsheets/d/1eHaY18a8A9IcSdp1K8H6x8fbOy06t2VsZHhMHf-1x7Y/edit?usp=sharing"",""แผน!U85"")"),20)</f>
        <v>20</v>
      </c>
      <c r="J150" s="169">
        <v>20</v>
      </c>
      <c r="K150" s="47">
        <f t="shared" ref="K150:K154" ca="1" si="103">IF(I150&gt;0,J150*100/I150,0)</f>
        <v>100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IFERROR(__xludf.DUMMYFUNCTION("IMPORTRANGE(""https://docs.google.com/spreadsheets/d/1eHaY18a8A9IcSdp1K8H6x8fbOy06t2VsZHhMHf-1x7Y/edit?usp=sharing"",""แผน!V85"")"),2)</f>
        <v>2</v>
      </c>
      <c r="J151" s="169">
        <v>2</v>
      </c>
      <c r="K151" s="47">
        <f t="shared" ca="1" si="103"/>
        <v>100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IFERROR(__xludf.DUMMYFUNCTION("IMPORTRANGE(""https://docs.google.com/spreadsheets/d/1eHaY18a8A9IcSdp1K8H6x8fbOy06t2VsZHhMHf-1x7Y/edit?usp=sharing"",""แผน!W85"")"),30)</f>
        <v>30</v>
      </c>
      <c r="J152" s="169">
        <v>30</v>
      </c>
      <c r="K152" s="47">
        <f t="shared" ca="1" si="103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IFERROR(__xludf.DUMMYFUNCTION("IMPORTRANGE(""https://docs.google.com/spreadsheets/d/1eHaY18a8A9IcSdp1K8H6x8fbOy06t2VsZHhMHf-1x7Y/edit?usp=sharing"",""แผน!X85"")"),3)</f>
        <v>3</v>
      </c>
      <c r="J153" s="169">
        <v>3</v>
      </c>
      <c r="K153" s="47">
        <f t="shared" ca="1" si="103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IFERROR(__xludf.DUMMYFUNCTION("IMPORTRANGE(""https://docs.google.com/spreadsheets/d/1eHaY18a8A9IcSdp1K8H6x8fbOy06t2VsZHhMHf-1x7Y/edit?usp=sharing"",""แผน!Y85"")"),2)</f>
        <v>2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IFERROR(__xludf.DUMMYFUNCTION("IMPORTRANGE(""https://docs.google.com/spreadsheets/d/1eHaY18a8A9IcSdp1K8H6x8fbOy06t2VsZHhMHf-1x7Y/edit?usp=sharing"",""แผน!Z85"")"),0)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IFERROR(__xludf.DUMMYFUNCTION("IMPORTRANGE(""https://docs.google.com/spreadsheets/d/1eHaY18a8A9IcSdp1K8H6x8fbOy06t2VsZHhMHf-1x7Y/edit?usp=sharing"",""แผน!Z85"")"),0)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IFERROR(__xludf.DUMMYFUNCTION("IMPORTRANGE(""https://docs.google.com/spreadsheets/d/1eHaY18a8A9IcSdp1K8H6x8fbOy06t2VsZHhMHf-1x7Y/edit?usp=sharing"",""แผน!Z85"")"),0)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7</v>
      </c>
      <c r="J172" s="222">
        <f t="shared" si="118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35150</v>
      </c>
      <c r="N173" s="133">
        <f t="shared" ca="1" si="119"/>
        <v>35150</v>
      </c>
      <c r="O173" s="133">
        <f t="shared" ref="O173:O181" ca="1" si="120">IF(L173&gt;0,N173*100/L173,0)</f>
        <v>179.42827973455846</v>
      </c>
      <c r="P173" s="133">
        <f t="shared" ref="P173:P181" ca="1" si="121">IF(M173&gt;0,N173*100/M173,0)</f>
        <v>100</v>
      </c>
      <c r="Q173" s="133">
        <f t="shared" ref="Q173:S173" ca="1" si="122">Q174+Q175</f>
        <v>0</v>
      </c>
      <c r="R173" s="133">
        <f t="shared" ca="1" si="122"/>
        <v>0</v>
      </c>
      <c r="S173" s="133">
        <f t="shared" ca="1" si="122"/>
        <v>0</v>
      </c>
      <c r="T173" s="133">
        <f t="shared" ref="T173:T181" ca="1" si="123">IF(Q173&gt;0,S173*100/Q173,0)</f>
        <v>0</v>
      </c>
      <c r="U173" s="133">
        <f t="shared" ref="U173:U181" ca="1" si="124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35150</v>
      </c>
      <c r="N175" s="47">
        <f t="shared" ca="1" si="125"/>
        <v>35150</v>
      </c>
      <c r="O175" s="47">
        <f t="shared" ca="1" si="120"/>
        <v>179.42827973455846</v>
      </c>
      <c r="P175" s="47">
        <f t="shared" ca="1" si="121"/>
        <v>100</v>
      </c>
      <c r="Q175" s="47">
        <f t="shared" ca="1" si="126"/>
        <v>0</v>
      </c>
      <c r="R175" s="47">
        <f t="shared" ca="1" si="126"/>
        <v>0</v>
      </c>
      <c r="S175" s="47">
        <f t="shared" ca="1" si="126"/>
        <v>0</v>
      </c>
      <c r="T175" s="47">
        <f t="shared" ca="1" si="123"/>
        <v>0</v>
      </c>
      <c r="U175" s="47">
        <f t="shared" ca="1" si="124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35150</v>
      </c>
      <c r="N176" s="47">
        <f t="shared" ca="1" si="127"/>
        <v>35150</v>
      </c>
      <c r="O176" s="47">
        <f t="shared" ca="1" si="120"/>
        <v>179.42827973455846</v>
      </c>
      <c r="P176" s="47">
        <f t="shared" ca="1" si="121"/>
        <v>100</v>
      </c>
      <c r="Q176" s="47">
        <f t="shared" ref="Q176:S176" ca="1" si="128">Q177+Q178</f>
        <v>0</v>
      </c>
      <c r="R176" s="47">
        <f t="shared" ca="1" si="128"/>
        <v>0</v>
      </c>
      <c r="S176" s="47">
        <f t="shared" ca="1" si="128"/>
        <v>0</v>
      </c>
      <c r="T176" s="47">
        <f t="shared" ca="1" si="123"/>
        <v>0</v>
      </c>
      <c r="U176" s="47">
        <f t="shared" ca="1" si="124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IFERROR(__xludf.DUMMYFUNCTION("IMPORTRANGE(""https://docs.google.com/spreadsheets/d/1-uDff_7J0KD5mKrp0Vvzr7lt3OU09vwQwhkpOPPYv2Y/edit?usp=sharing"",""งบพรบ!CR85"")"),35150)</f>
        <v>35150</v>
      </c>
      <c r="O178" s="47">
        <f t="shared" ca="1" si="120"/>
        <v>179.42827973455846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t="shared" ca="1" si="123"/>
        <v>0</v>
      </c>
      <c r="U178" s="47">
        <f t="shared" ca="1" si="124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IFERROR(__xludf.DUMMYFUNCTION("IMPORTRANGE(""https://docs.google.com/spreadsheets/d/1eHaY18a8A9IcSdp1K8H6x8fbOy06t2VsZHhMHf-1x7Y/edit?usp=sharing"",""แผน!AA85"")"),7)</f>
        <v>7</v>
      </c>
      <c r="J183" s="169">
        <v>7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401900</v>
      </c>
      <c r="M186" s="133">
        <f t="shared" ca="1" si="133"/>
        <v>403900</v>
      </c>
      <c r="N186" s="133">
        <f t="shared" ca="1" si="133"/>
        <v>389588.68</v>
      </c>
      <c r="O186" s="133">
        <f t="shared" ref="O186:O194" ca="1" si="134">IF(L186&gt;0,N186*100/L186,0)</f>
        <v>96.936720577258029</v>
      </c>
      <c r="P186" s="133">
        <f t="shared" ref="P186:P194" ca="1" si="135">IF(M186&gt;0,N186*100/M186,0)</f>
        <v>96.456717009160684</v>
      </c>
      <c r="Q186" s="133">
        <f t="shared" ref="Q186:S186" ca="1" si="136">Q187+Q188</f>
        <v>28000</v>
      </c>
      <c r="R186" s="133">
        <f t="shared" ca="1" si="136"/>
        <v>17100</v>
      </c>
      <c r="S186" s="133">
        <f t="shared" ca="1" si="136"/>
        <v>17100</v>
      </c>
      <c r="T186" s="133">
        <f t="shared" ref="T186:T194" ca="1" si="137">IF(Q186&gt;0,S186*100/Q186,0)</f>
        <v>61.071428571428569</v>
      </c>
      <c r="U186" s="133">
        <f t="shared" ref="U186:U194" ca="1" si="138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401900</v>
      </c>
      <c r="M188" s="47">
        <f t="shared" ca="1" si="139"/>
        <v>403900</v>
      </c>
      <c r="N188" s="47">
        <f t="shared" ca="1" si="139"/>
        <v>389588.68</v>
      </c>
      <c r="O188" s="47">
        <f t="shared" ca="1" si="134"/>
        <v>96.936720577258029</v>
      </c>
      <c r="P188" s="47">
        <f t="shared" ca="1" si="135"/>
        <v>96.456717009160684</v>
      </c>
      <c r="Q188" s="47">
        <f t="shared" ca="1" si="140"/>
        <v>28000</v>
      </c>
      <c r="R188" s="47">
        <f t="shared" ca="1" si="140"/>
        <v>17100</v>
      </c>
      <c r="S188" s="47">
        <f t="shared" ca="1" si="140"/>
        <v>17100</v>
      </c>
      <c r="T188" s="47">
        <f t="shared" ca="1" si="137"/>
        <v>61.071428571428569</v>
      </c>
      <c r="U188" s="47">
        <f t="shared" ca="1" si="138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401900</v>
      </c>
      <c r="M189" s="47">
        <f t="shared" ca="1" si="141"/>
        <v>403900</v>
      </c>
      <c r="N189" s="47">
        <f t="shared" ca="1" si="141"/>
        <v>389588.68</v>
      </c>
      <c r="O189" s="47">
        <f t="shared" ca="1" si="134"/>
        <v>96.936720577258029</v>
      </c>
      <c r="P189" s="47">
        <f t="shared" ca="1" si="135"/>
        <v>96.456717009160684</v>
      </c>
      <c r="Q189" s="47">
        <f t="shared" ref="Q189:S189" ca="1" si="142">Q190+Q191</f>
        <v>28000</v>
      </c>
      <c r="R189" s="47">
        <f t="shared" ca="1" si="142"/>
        <v>17100</v>
      </c>
      <c r="S189" s="47">
        <f t="shared" ca="1" si="142"/>
        <v>17100</v>
      </c>
      <c r="T189" s="47">
        <f t="shared" ca="1" si="137"/>
        <v>61.071428571428569</v>
      </c>
      <c r="U189" s="47">
        <f t="shared" ca="1" si="138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IFERROR(__xludf.DUMMYFUNCTION("IMPORTRANGE(""https://docs.google.com/spreadsheets/d/1-uDff_7J0KD5mKrp0Vvzr7lt3OU09vwQwhkpOPPYv2Y/edit?usp=sharing"",""งบพรบ!CZ85"")"),403900)</f>
        <v>403900</v>
      </c>
      <c r="N191" s="47">
        <f ca="1">IFERROR(__xludf.DUMMYFUNCTION("IMPORTRANGE(""https://docs.google.com/spreadsheets/d/1-uDff_7J0KD5mKrp0Vvzr7lt3OU09vwQwhkpOPPYv2Y/edit?usp=sharing"",""งบพรบ!DB85"")"),389588.68)</f>
        <v>389588.68</v>
      </c>
      <c r="O191" s="47">
        <f t="shared" ca="1" si="134"/>
        <v>96.936720577258029</v>
      </c>
      <c r="P191" s="47">
        <f t="shared" ca="1" si="135"/>
        <v>96.456717009160684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IFERROR(__xludf.DUMMYFUNCTION("IMPORTRANGE(""https://docs.google.com/spreadsheets/d/1ItG2mGa2ceCfYo0BwxsXqNm01IGEUdYcSSLTEv9YCik/edit?usp=sharing"",""เบิกจ่ายกองทุน!BR85"")"),17100)</f>
        <v>17100</v>
      </c>
      <c r="S191" s="47">
        <f ca="1">IFERROR(__xludf.DUMMYFUNCTION("IMPORTRANGE(""https://docs.google.com/spreadsheets/d/1ItG2mGa2ceCfYo0BwxsXqNm01IGEUdYcSSLTEv9YCik/edit?usp=sharing"",""เบิกจ่ายกองทุน!BS85"")"),17100)</f>
        <v>17100</v>
      </c>
      <c r="T191" s="47">
        <f t="shared" ca="1" si="137"/>
        <v>61.071428571428569</v>
      </c>
      <c r="U191" s="47">
        <f t="shared" ca="1" si="138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IFERROR(__xludf.DUMMYFUNCTION("IMPORTRANGE(""https://docs.google.com/spreadsheets/d/1eHaY18a8A9IcSdp1K8H6x8fbOy06t2VsZHhMHf-1x7Y/edit?usp=sharing"",""แผน!AE85"")"),4)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160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160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2</v>
      </c>
      <c r="J202" s="236">
        <f t="shared" si="146"/>
        <v>2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10000</v>
      </c>
      <c r="M203" s="46"/>
      <c r="N203" s="133">
        <f>N204+N205+N206+N207</f>
        <v>8225</v>
      </c>
      <c r="O203" s="133">
        <f ca="1">IF(L203&gt;0,N203*100/L203,0)</f>
        <v>82.25</v>
      </c>
      <c r="P203" s="133">
        <f>IF(M203&gt;0,N203*100/M203,0)</f>
        <v>0</v>
      </c>
      <c r="Q203" s="637">
        <f ca="1">Q204+Q205+Q206+Q207</f>
        <v>28000</v>
      </c>
      <c r="R203" s="180"/>
      <c r="S203" s="638">
        <f>S204+S205+S206+S207</f>
        <v>17100</v>
      </c>
      <c r="T203" s="638">
        <f ca="1">IF(Q203&gt;0,S203*100/Q203,0)</f>
        <v>61.071428571428569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IFERROR(__xludf.DUMMYFUNCTION("IMPORTRANGE(""https://docs.google.com/spreadsheets/d/1eHaY18a8A9IcSdp1K8H6x8fbOy06t2VsZHhMHf-1x7Y/edit?usp=sharing"",""แผน!AG85"")"),2000)</f>
        <v>2000</v>
      </c>
      <c r="M204" s="46"/>
      <c r="N204" s="639">
        <v>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IFERROR(__xludf.DUMMYFUNCTION("IMPORTRANGE(""https://docs.google.com/spreadsheets/d/1eHaY18a8A9IcSdp1K8H6x8fbOy06t2VsZHhMHf-1x7Y/edit?usp=sharing"",""แผน!AH85"")"),0)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IFERROR(__xludf.DUMMYFUNCTION("IMPORTRANGE(""https://docs.google.com/spreadsheets/d/1eHaY18a8A9IcSdp1K8H6x8fbOy06t2VsZHhMHf-1x7Y/edit?usp=sharing"",""แผน!AI85"")"),0)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639">
        <v>17100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IFERROR(__xludf.DUMMYFUNCTION("IMPORTRANGE(""https://docs.google.com/spreadsheets/d/1eHaY18a8A9IcSdp1K8H6x8fbOy06t2VsZHhMHf-1x7Y/edit?usp=sharing"",""แผน!AJ85"")"),8000)</f>
        <v>8000</v>
      </c>
      <c r="M207" s="46"/>
      <c r="N207" s="639">
        <v>8225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IFERROR(__xludf.DUMMYFUNCTION("IMPORTRANGE(""https://docs.google.com/spreadsheets/d/1eHaY18a8A9IcSdp1K8H6x8fbOy06t2VsZHhMHf-1x7Y/edit?usp=sharing"",""แผน!AK85"")"),2)</f>
        <v>2</v>
      </c>
      <c r="J209" s="169">
        <v>2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IFERROR(__xludf.DUMMYFUNCTION("IMPORTRANGE(""https://docs.google.com/spreadsheets/d/1eHaY18a8A9IcSdp1K8H6x8fbOy06t2VsZHhMHf-1x7Y/edit?usp=sharing"",""แผน!JX85"")"),2)</f>
        <v>2</v>
      </c>
      <c r="J211" s="169">
        <v>2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IFERROR(__xludf.DUMMYFUNCTION("IMPORTRANGE(""https://docs.google.com/spreadsheets/d/1eHaY18a8A9IcSdp1K8H6x8fbOy06t2VsZHhMHf-1x7Y/edit?usp=sharing"",""แผน!JY85"")"),0)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IFERROR(__xludf.DUMMYFUNCTION("IMPORTRANGE(""https://docs.google.com/spreadsheets/d/1eHaY18a8A9IcSdp1K8H6x8fbOy06t2VsZHhMHf-1x7Y/edit?usp=sharing"",""แผน!AM85"")"),0)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IFERROR(__xludf.DUMMYFUNCTION("IMPORTRANGE(""https://docs.google.com/spreadsheets/d/1eHaY18a8A9IcSdp1K8H6x8fbOy06t2VsZHhMHf-1x7Y/edit?usp=sharing"",""แผน!AN85"")"),0)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IFERROR(__xludf.DUMMYFUNCTION("IMPORTRANGE(""https://docs.google.com/spreadsheets/d/1eHaY18a8A9IcSdp1K8H6x8fbOy06t2VsZHhMHf-1x7Y/edit?usp=sharing"",""แผน!AO85"")"),0)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IFERROR(__xludf.DUMMYFUNCTION("IMPORTRANGE(""https://docs.google.com/spreadsheets/d/1eHaY18a8A9IcSdp1K8H6x8fbOy06t2VsZHhMHf-1x7Y/edit?usp=sharing"",""แผน!LY85"")"),0)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IFERROR(__xludf.DUMMYFUNCTION("IMPORTRANGE(""https://docs.google.com/spreadsheets/d/1eHaY18a8A9IcSdp1K8H6x8fbOy06t2VsZHhMHf-1x7Y/edit?usp=sharing"",""แผน!AP85"")"),0)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IFERROR(__xludf.DUMMYFUNCTION("IMPORTRANGE(""https://docs.google.com/spreadsheets/d/1eHaY18a8A9IcSdp1K8H6x8fbOy06t2VsZHhMHf-1x7Y/edit?usp=sharing"",""แผน!AP85"")"),0)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12800</v>
      </c>
      <c r="J221" s="236">
        <f t="shared" si="150"/>
        <v>15000</v>
      </c>
      <c r="K221" s="237">
        <f t="shared" ca="1" si="149"/>
        <v>117.1875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4140</v>
      </c>
      <c r="O222" s="133">
        <f ca="1">IF(L222&gt;0,N222*100/L222,0)</f>
        <v>92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IFERROR(__xludf.DUMMYFUNCTION("IMPORTRANGE(""https://docs.google.com/spreadsheets/d/1eHaY18a8A9IcSdp1K8H6x8fbOy06t2VsZHhMHf-1x7Y/edit?usp=sharing"",""แผน!AR85"")"),2500)</f>
        <v>2500</v>
      </c>
      <c r="M223" s="46"/>
      <c r="N223" s="639">
        <v>1640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IFERROR(__xludf.DUMMYFUNCTION("IMPORTRANGE(""https://docs.google.com/spreadsheets/d/1eHaY18a8A9IcSdp1K8H6x8fbOy06t2VsZHhMHf-1x7Y/edit?usp=sharing"",""แผน!AS85"")"),2000)</f>
        <v>2000</v>
      </c>
      <c r="M224" s="46"/>
      <c r="N224" s="639">
        <v>2500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IFERROR(__xludf.DUMMYFUNCTION("IMPORTRANGE(""https://docs.google.com/spreadsheets/d/1eHaY18a8A9IcSdp1K8H6x8fbOy06t2VsZHhMHf-1x7Y/edit?usp=sharing"",""แผน!AT85"")"),0)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IFERROR(__xludf.DUMMYFUNCTION("IMPORTRANGE(""https://docs.google.com/spreadsheets/d/1eHaY18a8A9IcSdp1K8H6x8fbOy06t2VsZHhMHf-1x7Y/edit?usp=sharing"",""แผน!AV85"")"),12800)</f>
        <v>12800</v>
      </c>
      <c r="J228" s="169">
        <v>15000</v>
      </c>
      <c r="K228" s="154">
        <f t="shared" ref="K228:K231" ca="1" si="151">IF(I228&gt;0,J228*100/I228,0)</f>
        <v>117.1875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IFERROR(__xludf.DUMMYFUNCTION("IMPORTRANGE(""https://docs.google.com/spreadsheets/d/1eHaY18a8A9IcSdp1K8H6x8fbOy06t2VsZHhMHf-1x7Y/edit?usp=sharing"",""แผน!AV85"")"),12800)</f>
        <v>12800</v>
      </c>
      <c r="J229" s="169">
        <v>15000</v>
      </c>
      <c r="K229" s="154">
        <f t="shared" ca="1" si="151"/>
        <v>117.1875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IFERROR(__xludf.DUMMYFUNCTION("IMPORTRANGE(""https://docs.google.com/spreadsheets/d/1eHaY18a8A9IcSdp1K8H6x8fbOy06t2VsZHhMHf-1x7Y/edit?usp=sharing"",""แผน!AU85"")"),0)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IFERROR(__xludf.DUMMYFUNCTION("IMPORTRANGE(""https://docs.google.com/spreadsheets/d/1eHaY18a8A9IcSdp1K8H6x8fbOy06t2VsZHhMHf-1x7Y/edit?usp=sharing"",""แผน!AX85"")"),0)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IFERROR(__xludf.DUMMYFUNCTION("IMPORTRANGE(""https://docs.google.com/spreadsheets/d/1eHaY18a8A9IcSdp1K8H6x8fbOy06t2VsZHhMHf-1x7Y/edit?usp=sharing"",""แผน!AY85"")"),0)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IFERROR(__xludf.DUMMYFUNCTION("IMPORTRANGE(""https://docs.google.com/spreadsheets/d/1eHaY18a8A9IcSdp1K8H6x8fbOy06t2VsZHhMHf-1x7Y/edit?usp=sharing"",""แผน!AZ85"")"),0)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IFERROR(__xludf.DUMMYFUNCTION("IMPORTRANGE(""https://docs.google.com/spreadsheets/d/1eHaY18a8A9IcSdp1K8H6x8fbOy06t2VsZHhMHf-1x7Y/edit?usp=sharing"",""แผน!BA85"")"),0)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IFERROR(__xludf.DUMMYFUNCTION("IMPORTRANGE(""https://docs.google.com/spreadsheets/d/1eHaY18a8A9IcSdp1K8H6x8fbOy06t2VsZHhMHf-1x7Y/edit?usp=sharing"",""แผน!BG85"")"),0)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IFERROR(__xludf.DUMMYFUNCTION("IMPORTRANGE(""https://docs.google.com/spreadsheets/d/1eHaY18a8A9IcSdp1K8H6x8fbOy06t2VsZHhMHf-1x7Y/edit?usp=sharing"",""แผน!BB85"")"),0)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IFERROR(__xludf.DUMMYFUNCTION("IMPORTRANGE(""https://docs.google.com/spreadsheets/d/1eHaY18a8A9IcSdp1K8H6x8fbOy06t2VsZHhMHf-1x7Y/edit?usp=sharing"",""แผน!BC85"")"),0)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IFERROR(__xludf.DUMMYFUNCTION("IMPORTRANGE(""https://docs.google.com/spreadsheets/d/1eHaY18a8A9IcSdp1K8H6x8fbOy06t2VsZHhMHf-1x7Y/edit?usp=sharing"",""แผน!BD85"")"),0)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IFERROR(__xludf.DUMMYFUNCTION("IMPORTRANGE(""https://docs.google.com/spreadsheets/d/1eHaY18a8A9IcSdp1K8H6x8fbOy06t2VsZHhMHf-1x7Y/edit?usp=sharing"",""แผน!BE85"")"),0)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IFERROR(__xludf.DUMMYFUNCTION("IMPORTRANGE(""https://docs.google.com/spreadsheets/d/1eHaY18a8A9IcSdp1K8H6x8fbOy06t2VsZHhMHf-1x7Y/edit?usp=sharing"",""แผน!BH85"")"),0)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22</v>
      </c>
      <c r="J265" s="686">
        <f t="shared" si="162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21200</v>
      </c>
      <c r="N266" s="441">
        <f t="shared" ca="1" si="163"/>
        <v>16740</v>
      </c>
      <c r="O266" s="441">
        <f t="shared" ref="O266:O274" ca="1" si="164">IF(L266&gt;0,N266*100/L266,0)</f>
        <v>334.8</v>
      </c>
      <c r="P266" s="441">
        <f t="shared" ref="P266:P274" ca="1" si="165">IF(M266&gt;0,N266*100/M266,0)</f>
        <v>78.962264150943398</v>
      </c>
      <c r="Q266" s="441">
        <f t="shared" ref="Q266:S266" ca="1" si="166">Q267+Q268</f>
        <v>50660</v>
      </c>
      <c r="R266" s="441">
        <f t="shared" ca="1" si="166"/>
        <v>38010</v>
      </c>
      <c r="S266" s="441">
        <f t="shared" ca="1" si="166"/>
        <v>38010</v>
      </c>
      <c r="T266" s="441">
        <f t="shared" ref="T266:T274" ca="1" si="167">IF(Q266&gt;0,S266*100/Q266,0)</f>
        <v>75.029609159099877</v>
      </c>
      <c r="U266" s="441">
        <f t="shared" ref="U266:U274" ca="1" si="168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21200</v>
      </c>
      <c r="N268" s="352">
        <f t="shared" ca="1" si="169"/>
        <v>16740</v>
      </c>
      <c r="O268" s="352">
        <f t="shared" ca="1" si="164"/>
        <v>334.8</v>
      </c>
      <c r="P268" s="352">
        <f t="shared" ca="1" si="165"/>
        <v>78.962264150943398</v>
      </c>
      <c r="Q268" s="352">
        <f t="shared" ca="1" si="170"/>
        <v>50660</v>
      </c>
      <c r="R268" s="352">
        <f t="shared" ca="1" si="170"/>
        <v>38010</v>
      </c>
      <c r="S268" s="352">
        <f t="shared" ca="1" si="170"/>
        <v>38010</v>
      </c>
      <c r="T268" s="352">
        <f t="shared" ca="1" si="167"/>
        <v>75.029609159099877</v>
      </c>
      <c r="U268" s="352">
        <f t="shared" ca="1" si="168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21200</v>
      </c>
      <c r="N269" s="352">
        <f t="shared" ca="1" si="171"/>
        <v>16740</v>
      </c>
      <c r="O269" s="352">
        <f t="shared" ca="1" si="164"/>
        <v>334.8</v>
      </c>
      <c r="P269" s="352">
        <f t="shared" ca="1" si="165"/>
        <v>78.962264150943398</v>
      </c>
      <c r="Q269" s="352">
        <f t="shared" ref="Q269:S269" ca="1" si="172">Q270+Q271</f>
        <v>50660</v>
      </c>
      <c r="R269" s="352">
        <f t="shared" ca="1" si="172"/>
        <v>38010</v>
      </c>
      <c r="S269" s="352">
        <f t="shared" ca="1" si="172"/>
        <v>38010</v>
      </c>
      <c r="T269" s="352">
        <f t="shared" ca="1" si="167"/>
        <v>75.029609159099877</v>
      </c>
      <c r="U269" s="352">
        <f t="shared" ca="1" si="168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IFERROR(__xludf.DUMMYFUNCTION("IMPORTRANGE(""https://docs.google.com/spreadsheets/d/1-uDff_7J0KD5mKrp0Vvzr7lt3OU09vwQwhkpOPPYv2Y/edit?usp=sharing"",""งบพรบ!DE85"")"),5000)</f>
        <v>5000</v>
      </c>
      <c r="M271" s="352">
        <f ca="1">IFERROR(__xludf.DUMMYFUNCTION("IMPORTRANGE(""https://docs.google.com/spreadsheets/d/1-uDff_7J0KD5mKrp0Vvzr7lt3OU09vwQwhkpOPPYv2Y/edit?usp=sharing"",""งบพรบ!DJ85"")"),21200)</f>
        <v>21200</v>
      </c>
      <c r="N271" s="352">
        <f ca="1">IFERROR(__xludf.DUMMYFUNCTION("IMPORTRANGE(""https://docs.google.com/spreadsheets/d/1-uDff_7J0KD5mKrp0Vvzr7lt3OU09vwQwhkpOPPYv2Y/edit?usp=sharing"",""งบพรบ!DL85"")"),16740)</f>
        <v>16740</v>
      </c>
      <c r="O271" s="352">
        <f t="shared" ca="1" si="164"/>
        <v>334.8</v>
      </c>
      <c r="P271" s="352">
        <f t="shared" ca="1" si="165"/>
        <v>78.962264150943398</v>
      </c>
      <c r="Q271" s="352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IFERROR(__xludf.DUMMYFUNCTION("IMPORTRANGE(""https://docs.google.com/spreadsheets/d/1ItG2mGa2ceCfYo0BwxsXqNm01IGEUdYcSSLTEv9YCik/edit?usp=sharing"",""เบิกจ่ายกองทุน!AQ85"")"),38010)</f>
        <v>38010</v>
      </c>
      <c r="S271" s="352">
        <f ca="1">IFERROR(__xludf.DUMMYFUNCTION("IMPORTRANGE(""https://docs.google.com/spreadsheets/d/1ItG2mGa2ceCfYo0BwxsXqNm01IGEUdYcSSLTEv9YCik/edit?usp=sharing"",""เบิกจ่ายกองทุน!AR85"")"),38010)</f>
        <v>38010</v>
      </c>
      <c r="T271" s="352">
        <f t="shared" ca="1" si="167"/>
        <v>75.029609159099877</v>
      </c>
      <c r="U271" s="352">
        <f t="shared" ca="1" si="168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IFERROR(__xludf.DUMMYFUNCTION("IMPORTRANGE(""https://docs.google.com/spreadsheets/d/1-uDff_7J0KD5mKrp0Vvzr7lt3OU09vwQwhkpOPPYv2Y/edit?usp=sharing"",""งบพรบ!DH85"")"),0)</f>
        <v>0</v>
      </c>
      <c r="M274" s="352">
        <f ca="1">IFERROR(__xludf.DUMMYFUNCTION("IMPORTRANGE(""https://docs.google.com/spreadsheets/d/1-uDff_7J0KD5mKrp0Vvzr7lt3OU09vwQwhkpOPPYv2Y/edit?usp=sharing"",""งบพรบ!DK85"")"),0)</f>
        <v>0</v>
      </c>
      <c r="N274" s="352">
        <f ca="1">IFERROR(__xludf.DUMMYFUNCTION("IMPORTRANGE(""https://docs.google.com/spreadsheets/d/1-uDff_7J0KD5mKrp0Vvzr7lt3OU09vwQwhkpOPPYv2Y/edit?usp=sharing"",""งบพรบ!DM85"")"),0)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IFERROR(__xludf.DUMMYFUNCTION("IMPORTRANGE(""https://docs.google.com/spreadsheets/d/1eHaY18a8A9IcSdp1K8H6x8fbOy06t2VsZHhMHf-1x7Y/edit?usp=sharing"",""แผน!EC85"")"),22)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IFERROR(__xludf.DUMMYFUNCTION("IMPORTRANGE(""https://docs.google.com/spreadsheets/d/1eHaY18a8A9IcSdp1K8H6x8fbOy06t2VsZHhMHf-1x7Y/edit?usp=sharing"",""แผน!EE85"")"),0)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IFERROR(__xludf.DUMMYFUNCTION("IMPORTRANGE(""https://docs.google.com/spreadsheets/d/1eHaY18a8A9IcSdp1K8H6x8fbOy06t2VsZHhMHf-1x7Y/edit?usp=sharing"",""แผน!ED85"")"),0)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IFERROR(__xludf.DUMMYFUNCTION("IMPORTRANGE(""https://docs.google.com/spreadsheets/d/1eHaY18a8A9IcSdp1K8H6x8fbOy06t2VsZHhMHf-1x7Y/edit?usp=sharing"",""แผน!ED85"")"),0)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IFERROR(__xludf.DUMMYFUNCTION("IMPORTRANGE(""https://docs.google.com/spreadsheets/d/1eHaY18a8A9IcSdp1K8H6x8fbOy06t2VsZHhMHf-1x7Y/edit?usp=sharing"",""แผน!ED85"")"),0)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hidden="1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hidden="1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0</v>
      </c>
      <c r="J302" s="321">
        <f t="shared" si="192"/>
        <v>0</v>
      </c>
      <c r="K302" s="322">
        <f ca="1">IF(I302&gt;0,J302*100/I302,0)</f>
        <v>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hidden="1" x14ac:dyDescent="0.3">
      <c r="A303" s="129"/>
      <c r="B303" s="200"/>
      <c r="C303" s="19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0</v>
      </c>
      <c r="R303" s="133">
        <f t="shared" ca="1" si="196"/>
        <v>0</v>
      </c>
      <c r="S303" s="133">
        <f t="shared" ca="1" si="196"/>
        <v>0</v>
      </c>
      <c r="T303" s="133">
        <f t="shared" ref="T303:T311" ca="1" si="197">IF(Q303&gt;0,S303*100/Q303,0)</f>
        <v>0</v>
      </c>
      <c r="U303" s="133">
        <f t="shared" ref="U303:U311" ca="1" si="198">IF(R303&gt;0,S303*100/R303,0)</f>
        <v>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0</v>
      </c>
      <c r="R305" s="47">
        <f t="shared" ca="1" si="200"/>
        <v>0</v>
      </c>
      <c r="S305" s="47">
        <f t="shared" ca="1" si="200"/>
        <v>0</v>
      </c>
      <c r="T305" s="47">
        <f t="shared" ca="1" si="197"/>
        <v>0</v>
      </c>
      <c r="U305" s="47">
        <f t="shared" ca="1" si="198"/>
        <v>0</v>
      </c>
    </row>
    <row r="306" spans="1:21" ht="18.75" hidden="1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0</v>
      </c>
      <c r="R306" s="47">
        <f t="shared" ca="1" si="202"/>
        <v>0</v>
      </c>
      <c r="S306" s="47">
        <f t="shared" ca="1" si="202"/>
        <v>0</v>
      </c>
      <c r="T306" s="47">
        <f t="shared" ca="1" si="197"/>
        <v>0</v>
      </c>
      <c r="U306" s="47">
        <f t="shared" ca="1" si="198"/>
        <v>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t="shared" ca="1" si="197"/>
        <v>0</v>
      </c>
      <c r="U308" s="47">
        <f t="shared" ca="1" si="198"/>
        <v>0</v>
      </c>
    </row>
    <row r="309" spans="1:21" ht="18.75" hidden="1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hidden="1" x14ac:dyDescent="0.3">
      <c r="A312" s="139"/>
      <c r="B312" s="140"/>
      <c r="C312" s="19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IFERROR(__xludf.DUMMYFUNCTION("IMPORTRANGE(""https://docs.google.com/spreadsheets/d/1eHaY18a8A9IcSdp1K8H6x8fbOy06t2VsZHhMHf-1x7Y/edit?usp=sharing"",""แผน!EF85"")"),0)</f>
        <v>0</v>
      </c>
      <c r="J314" s="169">
        <v>0</v>
      </c>
      <c r="K314" s="47">
        <f ca="1">IF(I314&gt;0,J314*100/I314,0)</f>
        <v>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t="shared" ca="1" si="207"/>
        <v>0</v>
      </c>
      <c r="P325" s="47">
        <f t="shared" ca="1" si="208"/>
        <v>0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IFERROR(__xludf.DUMMYFUNCTION("IMPORTRANGE(""https://docs.google.com/spreadsheets/d/1eHaY18a8A9IcSdp1K8H6x8fbOy06t2VsZHhMHf-1x7Y/edit?usp=sharing"",""แผน!EJ85"")"),0)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IFERROR(__xludf.DUMMYFUNCTION("IMPORTRANGE(""https://docs.google.com/spreadsheets/d/1eHaY18a8A9IcSdp1K8H6x8fbOy06t2VsZHhMHf-1x7Y/edit?usp=sharing"",""แผน!EK85"")"),500)</f>
        <v>500</v>
      </c>
      <c r="J332" s="718">
        <f ca="1">J344+J347+J348+J349+J353+J354</f>
        <v>2917</v>
      </c>
      <c r="K332" s="719">
        <f ca="1">IF(I332&gt;0,J332*100/I332,0)</f>
        <v>583.4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1024000</v>
      </c>
      <c r="M333" s="133">
        <f t="shared" ca="1" si="218"/>
        <v>1024000</v>
      </c>
      <c r="N333" s="133">
        <f t="shared" ca="1" si="218"/>
        <v>1010866.6799999999</v>
      </c>
      <c r="O333" s="133">
        <f t="shared" ref="O333:O341" ca="1" si="219">IF(L333&gt;0,N333*100/L333,0)</f>
        <v>98.717449218750005</v>
      </c>
      <c r="P333" s="133">
        <f t="shared" ref="P333:P341" ca="1" si="220">IF(M333&gt;0,N333*100/M333,0)</f>
        <v>98.717449218750005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1024000</v>
      </c>
      <c r="M335" s="47">
        <f t="shared" ca="1" si="224"/>
        <v>1024000</v>
      </c>
      <c r="N335" s="47">
        <f t="shared" ca="1" si="224"/>
        <v>1010866.6799999999</v>
      </c>
      <c r="O335" s="47">
        <f t="shared" ca="1" si="219"/>
        <v>98.717449218750005</v>
      </c>
      <c r="P335" s="47">
        <f t="shared" ca="1" si="220"/>
        <v>98.717449218750005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174000</v>
      </c>
      <c r="M336" s="47">
        <f t="shared" ca="1" si="226"/>
        <v>174000</v>
      </c>
      <c r="N336" s="47">
        <f t="shared" ca="1" si="226"/>
        <v>160866.68</v>
      </c>
      <c r="O336" s="47">
        <f t="shared" ca="1" si="219"/>
        <v>92.452114942528738</v>
      </c>
      <c r="P336" s="47">
        <f t="shared" ca="1" si="220"/>
        <v>92.452114942528738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IFERROR(__xludf.DUMMYFUNCTION("IMPORTRANGE(""https://docs.google.com/spreadsheets/d/1-uDff_7J0KD5mKrp0Vvzr7lt3OU09vwQwhkpOPPYv2Y/edit?usp=sharing"",""งบพรบ!EX85"")"),174000)</f>
        <v>174000</v>
      </c>
      <c r="N338" s="47">
        <f ca="1">IFERROR(__xludf.DUMMYFUNCTION("IMPORTRANGE(""https://docs.google.com/spreadsheets/d/1-uDff_7J0KD5mKrp0Vvzr7lt3OU09vwQwhkpOPPYv2Y/edit?usp=sharing"",""งบพรบ!EZ85"")"),160866.68)</f>
        <v>160866.68</v>
      </c>
      <c r="O338" s="47">
        <f t="shared" ca="1" si="219"/>
        <v>92.452114942528738</v>
      </c>
      <c r="P338" s="47">
        <f t="shared" ca="1" si="220"/>
        <v>92.452114942528738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850000</v>
      </c>
      <c r="M339" s="47">
        <f t="shared" ca="1" si="228"/>
        <v>850000</v>
      </c>
      <c r="N339" s="47">
        <f t="shared" ca="1" si="228"/>
        <v>850000</v>
      </c>
      <c r="O339" s="47">
        <f t="shared" ca="1" si="219"/>
        <v>100</v>
      </c>
      <c r="P339" s="47">
        <f t="shared" ca="1" si="220"/>
        <v>100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IFERROR(__xludf.DUMMYFUNCTION("IMPORTRANGE(""https://docs.google.com/spreadsheets/d/1-uDff_7J0KD5mKrp0Vvzr7lt3OU09vwQwhkpOPPYv2Y/edit?usp=sharing"",""งบพรบ!FA85"")"),850000)</f>
        <v>850000</v>
      </c>
      <c r="O341" s="47">
        <f t="shared" ca="1" si="219"/>
        <v>100</v>
      </c>
      <c r="P341" s="47">
        <f t="shared" ca="1" si="220"/>
        <v>100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415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IFERROR(__xludf.DUMMYFUNCTION("IMPORTRANGE(""https://docs.google.com/spreadsheets/d/1awYsYK3VOup2i3Pq_Yjnu8DRu_mYwSBnCR2QPthd0rU/edit?usp=sharing"",""ศูนย์ยกเว้นโฉนด!D85"")"),277)</f>
        <v>277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IFERROR(__xludf.DUMMYFUNCTION("IMPORTRANGE(""https://docs.google.com/spreadsheets/d/1eHaY18a8A9IcSdp1K8H6x8fbOy06t2VsZHhMHf-1x7Y/edit?usp=sharing"",""แผน!EL85"")"),3)</f>
        <v>3</v>
      </c>
      <c r="J346" s="372">
        <f ca="1">IFERROR(__xludf.DUMMYFUNCTION("IMPORTRANGE(""https://docs.google.com/spreadsheets/d/1awYsYK3VOup2i3Pq_Yjnu8DRu_mYwSBnCR2QPthd0rU/edit?usp=sharing"",""ศูนย์รวม!E85"")"),2)</f>
        <v>2</v>
      </c>
      <c r="K346" s="47">
        <f ca="1">IF(I346&gt;0,J346*100/I346,0)</f>
        <v>66.666666666666671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IFERROR(__xludf.DUMMYFUNCTION("IMPORTRANGE(""https://docs.google.com/spreadsheets/d/1awYsYK3VOup2i3Pq_Yjnu8DRu_mYwSBnCR2QPthd0rU/edit?usp=sharing"",""ศูนย์ยกเว้นโฉนด!F85"")"),138)</f>
        <v>138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2502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IFERROR(__xludf.DUMMYFUNCTION("IMPORTRANGE(""https://docs.google.com/spreadsheets/d/1awYsYK3VOup2i3Pq_Yjnu8DRu_mYwSBnCR2QPthd0rU/edit?usp=sharing"",""โฉนดM3!G85"")"),413)</f>
        <v>413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IFERROR(__xludf.DUMMYFUNCTION("IMPORTRANGE(""https://docs.google.com/spreadsheets/d/1awYsYK3VOup2i3Pq_Yjnu8DRu_mYwSBnCR2QPthd0rU/edit?usp=sharing"",""โฉนดM3!H85"")"),2264)</f>
        <v>2264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IFERROR(__xludf.DUMMYFUNCTION("IMPORTRANGE(""https://docs.google.com/spreadsheets/d/1awYsYK3VOup2i3Pq_Yjnu8DRu_mYwSBnCR2QPthd0rU/edit?usp=sharing"",""โฉนดM3!I85"")"),238)</f>
        <v>238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545480</v>
      </c>
      <c r="M356" s="133">
        <f t="shared" ca="1" si="230"/>
        <v>647480</v>
      </c>
      <c r="N356" s="133">
        <f t="shared" ca="1" si="230"/>
        <v>520094.67</v>
      </c>
      <c r="O356" s="133">
        <f t="shared" ref="O356:O364" ca="1" si="231">IF(L356&gt;0,N356*100/L356,0)</f>
        <v>95.346240008799583</v>
      </c>
      <c r="P356" s="133">
        <f t="shared" ref="P356:P364" ca="1" si="232">IF(M356&gt;0,N356*100/M356,0)</f>
        <v>80.325982269722616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545480</v>
      </c>
      <c r="M358" s="47">
        <f t="shared" ca="1" si="236"/>
        <v>647480</v>
      </c>
      <c r="N358" s="47">
        <f t="shared" ca="1" si="236"/>
        <v>520094.67</v>
      </c>
      <c r="O358" s="47">
        <f t="shared" ca="1" si="231"/>
        <v>95.346240008799583</v>
      </c>
      <c r="P358" s="47">
        <f t="shared" ca="1" si="232"/>
        <v>80.325982269722616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545480</v>
      </c>
      <c r="M359" s="47">
        <f t="shared" ca="1" si="238"/>
        <v>647480</v>
      </c>
      <c r="N359" s="47">
        <f t="shared" ca="1" si="238"/>
        <v>520094.67</v>
      </c>
      <c r="O359" s="47">
        <f t="shared" ca="1" si="231"/>
        <v>95.346240008799583</v>
      </c>
      <c r="P359" s="47">
        <f t="shared" ca="1" si="232"/>
        <v>80.325982269722616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IFERROR(__xludf.DUMMYFUNCTION("IMPORTRANGE(""https://docs.google.com/spreadsheets/d/1-uDff_7J0KD5mKrp0Vvzr7lt3OU09vwQwhkpOPPYv2Y/edit?usp=sharing"",""งบพรบ!FH85"")"),647480)</f>
        <v>647480</v>
      </c>
      <c r="N361" s="47">
        <f ca="1">IFERROR(__xludf.DUMMYFUNCTION("IMPORTRANGE(""https://docs.google.com/spreadsheets/d/1-uDff_7J0KD5mKrp0Vvzr7lt3OU09vwQwhkpOPPYv2Y/edit?usp=sharing"",""งบพรบ!FJ85"")"),520094.67)</f>
        <v>520094.67</v>
      </c>
      <c r="O361" s="47">
        <f t="shared" ca="1" si="231"/>
        <v>95.346240008799583</v>
      </c>
      <c r="P361" s="47">
        <f t="shared" ca="1" si="232"/>
        <v>80.325982269722616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74</v>
      </c>
      <c r="J365" s="236">
        <f t="shared" ca="1" si="242"/>
        <v>111</v>
      </c>
      <c r="K365" s="237">
        <f ca="1">IF(I365&gt;0,J365*100/I365,0)</f>
        <v>150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IFERROR(__xludf.DUMMYFUNCTION("IMPORTRANGE(""https://docs.google.com/spreadsheets/d/1tdoBKaGub7dwA3U6UFTqxio9LNnvDCQjHKmttSEBsFQ/edit?usp=sharing"",""จัดที่ดิน!AB85"")"),73)</f>
        <v>73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IFERROR(__xludf.DUMMYFUNCTION("IMPORTRANGE(""https://docs.google.com/spreadsheets/d/1eHaY18a8A9IcSdp1K8H6x8fbOy06t2VsZHhMHf-1x7Y/edit?usp=sharing"",""แผน!EW85"")"),410)</f>
        <v>410</v>
      </c>
      <c r="J368" s="729">
        <f ca="1">IFERROR(__xludf.DUMMYFUNCTION("IMPORTRANGE(""https://docs.google.com/spreadsheets/d/1tdoBKaGub7dwA3U6UFTqxio9LNnvDCQjHKmttSEBsFQ/edit?usp=sharing"",""จัดที่ดิน!AC85"")"),554.29)</f>
        <v>554.29</v>
      </c>
      <c r="K368" s="47">
        <f t="shared" ca="1" si="243"/>
        <v>135.19268292682926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IFERROR(__xludf.DUMMYFUNCTION("IMPORTRANGE(""https://docs.google.com/spreadsheets/d/1eHaY18a8A9IcSdp1K8H6x8fbOy06t2VsZHhMHf-1x7Y/edit?usp=sharing"",""แผน!EX85"")"),74)</f>
        <v>74</v>
      </c>
      <c r="J369" s="372">
        <f ca="1">IFERROR(__xludf.DUMMYFUNCTION("IMPORTRANGE(""https://docs.google.com/spreadsheets/d/1tdoBKaGub7dwA3U6UFTqxio9LNnvDCQjHKmttSEBsFQ/edit?usp=sharing"",""จัดที่ดิน!AD85"")"),149)</f>
        <v>149</v>
      </c>
      <c r="K369" s="47">
        <f t="shared" ca="1" si="243"/>
        <v>201.35135135135135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IFERROR(__xludf.DUMMYFUNCTION("IMPORTRANGE(""https://docs.google.com/spreadsheets/d/1tdoBKaGub7dwA3U6UFTqxio9LNnvDCQjHKmttSEBsFQ/edit?usp=sharing"",""จัดที่ดิน!AE85"")"),1657.97)</f>
        <v>1657.97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IFERROR(__xludf.DUMMYFUNCTION("IMPORTRANGE(""https://docs.google.com/spreadsheets/d/1eHaY18a8A9IcSdp1K8H6x8fbOy06t2VsZHhMHf-1x7Y/edit?usp=sharing"",""แผน!EY85"")"),74)</f>
        <v>74</v>
      </c>
      <c r="J371" s="372">
        <f ca="1">IFERROR(__xludf.DUMMYFUNCTION("IMPORTRANGE(""https://docs.google.com/spreadsheets/d/1tdoBKaGub7dwA3U6UFTqxio9LNnvDCQjHKmttSEBsFQ/edit?usp=sharing"",""จัดที่ดิน!AF85"")"),111)</f>
        <v>111</v>
      </c>
      <c r="K371" s="47">
        <f t="shared" ca="1" si="243"/>
        <v>150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IFERROR(__xludf.DUMMYFUNCTION("IMPORTRANGE(""https://docs.google.com/spreadsheets/d/1tdoBKaGub7dwA3U6UFTqxio9LNnvDCQjHKmttSEBsFQ/edit?usp=sharing"",""จัดที่ดิน!AG85"")"),1207.41)</f>
        <v>1207.4100000000001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300</v>
      </c>
      <c r="J374" s="737">
        <f t="shared" ca="1" si="244"/>
        <v>284</v>
      </c>
      <c r="K374" s="738">
        <f ca="1">IF(I374&gt;0,J374*100/I374,0)</f>
        <v>94.666666666666671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0</v>
      </c>
      <c r="M375" s="133">
        <f t="shared" ca="1" si="245"/>
        <v>0</v>
      </c>
      <c r="N375" s="133">
        <f t="shared" ca="1" si="245"/>
        <v>0</v>
      </c>
      <c r="O375" s="133">
        <f t="shared" ref="O375:O383" ca="1" si="246">IF(L375&gt;0,N375*100/L375,0)</f>
        <v>0</v>
      </c>
      <c r="P375" s="133">
        <f t="shared" ref="P375:P383" ca="1" si="247">IF(M375&gt;0,N375*100/M375,0)</f>
        <v>0</v>
      </c>
      <c r="Q375" s="133">
        <f t="shared" ref="Q375:S375" ca="1" si="248">Q376+Q377</f>
        <v>18750</v>
      </c>
      <c r="R375" s="133">
        <f t="shared" ca="1" si="248"/>
        <v>18750</v>
      </c>
      <c r="S375" s="133">
        <f t="shared" ca="1" si="248"/>
        <v>16908</v>
      </c>
      <c r="T375" s="133">
        <f t="shared" ref="T375:T383" ca="1" si="249">IF(Q375&gt;0,S375*100/Q375,0)</f>
        <v>90.176000000000002</v>
      </c>
      <c r="U375" s="133">
        <f t="shared" ref="U375:U383" ca="1" si="250">IF(R375&gt;0,S375*100/R375,0)</f>
        <v>90.176000000000002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0</v>
      </c>
      <c r="M377" s="47">
        <f t="shared" ca="1" si="251"/>
        <v>0</v>
      </c>
      <c r="N377" s="47">
        <f t="shared" ca="1" si="251"/>
        <v>0</v>
      </c>
      <c r="O377" s="47">
        <f t="shared" ca="1" si="246"/>
        <v>0</v>
      </c>
      <c r="P377" s="47">
        <f t="shared" ca="1" si="247"/>
        <v>0</v>
      </c>
      <c r="Q377" s="47">
        <f t="shared" ca="1" si="252"/>
        <v>18750</v>
      </c>
      <c r="R377" s="47">
        <f t="shared" ca="1" si="252"/>
        <v>18750</v>
      </c>
      <c r="S377" s="47">
        <f t="shared" ca="1" si="252"/>
        <v>16908</v>
      </c>
      <c r="T377" s="47">
        <f t="shared" ca="1" si="249"/>
        <v>90.176000000000002</v>
      </c>
      <c r="U377" s="47">
        <f t="shared" ca="1" si="250"/>
        <v>90.176000000000002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0</v>
      </c>
      <c r="M378" s="47">
        <f t="shared" ca="1" si="253"/>
        <v>0</v>
      </c>
      <c r="N378" s="47">
        <f t="shared" ca="1" si="253"/>
        <v>0</v>
      </c>
      <c r="O378" s="47">
        <f t="shared" ca="1" si="246"/>
        <v>0</v>
      </c>
      <c r="P378" s="47">
        <f t="shared" ca="1" si="247"/>
        <v>0</v>
      </c>
      <c r="Q378" s="47">
        <f t="shared" ref="Q378:S378" ca="1" si="254">Q379+Q380</f>
        <v>18750</v>
      </c>
      <c r="R378" s="47">
        <f t="shared" ca="1" si="254"/>
        <v>18750</v>
      </c>
      <c r="S378" s="47">
        <f t="shared" ca="1" si="254"/>
        <v>16908</v>
      </c>
      <c r="T378" s="47">
        <f t="shared" ca="1" si="249"/>
        <v>90.176000000000002</v>
      </c>
      <c r="U378" s="47">
        <f t="shared" ca="1" si="250"/>
        <v>90.176000000000002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t="shared" ca="1" si="246"/>
        <v>0</v>
      </c>
      <c r="P380" s="47">
        <f t="shared" ca="1" si="247"/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IFERROR(__xludf.DUMMYFUNCTION("IMPORTRANGE(""https://docs.google.com/spreadsheets/d/1ItG2mGa2ceCfYo0BwxsXqNm01IGEUdYcSSLTEv9YCik/edit?usp=sharing"",""เบิกจ่ายกองทุน!BY85"")"),16908)</f>
        <v>16908</v>
      </c>
      <c r="T380" s="47">
        <f t="shared" ca="1" si="249"/>
        <v>90.176000000000002</v>
      </c>
      <c r="U380" s="47">
        <f t="shared" ca="1" si="250"/>
        <v>90.176000000000002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IFERROR(__xludf.DUMMYFUNCTION("IMPORTRANGE(""https://docs.google.com/spreadsheets/d/1w5rwWK1o49a35cNtocGL0gxDwhFSTZUQu90BiH9_zqM/edit?usp=sharing"",""RTK!H85"")"),43)</f>
        <v>43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IFERROR(__xludf.DUMMYFUNCTION("IMPORTRANGE(""https://docs.google.com/spreadsheets/d/1w5rwWK1o49a35cNtocGL0gxDwhFSTZUQu90BiH9_zqM/edit?usp=sharing"",""RTK!G85"")"),300)</f>
        <v>300</v>
      </c>
      <c r="J386" s="372">
        <f ca="1">IFERROR(__xludf.DUMMYFUNCTION("IMPORTRANGE(""https://docs.google.com/spreadsheets/d/1w5rwWK1o49a35cNtocGL0gxDwhFSTZUQu90BiH9_zqM/edit?usp=sharing"",""RTK!I85"")"),284)</f>
        <v>284</v>
      </c>
      <c r="K386" s="47">
        <f t="shared" ca="1" si="257"/>
        <v>94.666666666666671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IFERROR(__xludf.DUMMYFUNCTION("IMPORTRANGE(""https://docs.google.com/spreadsheets/d/1w5rwWK1o49a35cNtocGL0gxDwhFSTZUQu90BiH9_zqM/edit?usp=sharing"",""RTK!L85"")"),0)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IFERROR(__xludf.DUMMYFUNCTION("IMPORTRANGE(""https://docs.google.com/spreadsheets/d/1w5rwWK1o49a35cNtocGL0gxDwhFSTZUQu90BiH9_zqM/edit?usp=sharing"",""RTK!K85"")"),0)</f>
        <v>0</v>
      </c>
      <c r="J388" s="351">
        <f ca="1">IFERROR(__xludf.DUMMYFUNCTION("IMPORTRANGE(""https://docs.google.com/spreadsheets/d/1w5rwWK1o49a35cNtocGL0gxDwhFSTZUQu90BiH9_zqM/edit?usp=sharing"",""RTK!M85"")"),0)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hidden="1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hidden="1" x14ac:dyDescent="0.3">
      <c r="A413" s="129"/>
      <c r="B413" s="160"/>
      <c r="C413" s="361" t="s">
        <v>18</v>
      </c>
      <c r="D413" s="866" t="s">
        <v>19</v>
      </c>
      <c r="E413" s="540"/>
      <c r="F413" s="540"/>
      <c r="G413" s="541"/>
      <c r="H413" s="362" t="s">
        <v>14</v>
      </c>
      <c r="I413" s="45"/>
      <c r="J413" s="45"/>
      <c r="K413" s="46"/>
      <c r="L413" s="617">
        <f t="shared" ref="L413:N413" ca="1" si="272">L414+L415</f>
        <v>0</v>
      </c>
      <c r="M413" s="133">
        <f t="shared" ca="1" si="272"/>
        <v>0</v>
      </c>
      <c r="N413" s="133">
        <f t="shared" ca="1" si="272"/>
        <v>0</v>
      </c>
      <c r="O413" s="133">
        <f t="shared" ref="O413:O421" ca="1" si="273">IF(L413&gt;0,N413*100/L413,0)</f>
        <v>0</v>
      </c>
      <c r="P413" s="133">
        <f t="shared" ref="P413:P421" ca="1" si="274">IF(M413&gt;0,N413*100/M413,0)</f>
        <v>0</v>
      </c>
      <c r="Q413" s="133">
        <f t="shared" ref="Q413:S413" ca="1" si="275">Q414+Q415</f>
        <v>0</v>
      </c>
      <c r="R413" s="133">
        <f t="shared" ca="1" si="275"/>
        <v>0</v>
      </c>
      <c r="S413" s="133">
        <f t="shared" ca="1" si="275"/>
        <v>0</v>
      </c>
      <c r="T413" s="133">
        <f t="shared" ref="T413:T421" ca="1" si="276">IF(Q413&gt;0,S413*100/Q413,0)</f>
        <v>0</v>
      </c>
      <c r="U413" s="133">
        <f t="shared" ref="U413:U421" ca="1" si="277">IF(R413&gt;0,S413*100/R413,0)</f>
        <v>0</v>
      </c>
    </row>
    <row r="414" spans="1:21" ht="18.75" hidden="1" x14ac:dyDescent="0.25">
      <c r="A414" s="129"/>
      <c r="B414" s="160"/>
      <c r="C414" s="160"/>
      <c r="D414" s="160"/>
      <c r="E414" s="511" t="s">
        <v>162</v>
      </c>
      <c r="F414" s="160"/>
      <c r="G414" s="19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0</v>
      </c>
      <c r="M415" s="47">
        <f t="shared" ca="1" si="278"/>
        <v>0</v>
      </c>
      <c r="N415" s="47">
        <f t="shared" ca="1" si="278"/>
        <v>0</v>
      </c>
      <c r="O415" s="47">
        <f t="shared" ca="1" si="273"/>
        <v>0</v>
      </c>
      <c r="P415" s="47">
        <f t="shared" ca="1" si="274"/>
        <v>0</v>
      </c>
      <c r="Q415" s="47">
        <f t="shared" ca="1" si="279"/>
        <v>0</v>
      </c>
      <c r="R415" s="47">
        <f t="shared" ca="1" si="279"/>
        <v>0</v>
      </c>
      <c r="S415" s="47">
        <f t="shared" ca="1" si="279"/>
        <v>0</v>
      </c>
      <c r="T415" s="47">
        <f t="shared" ca="1" si="276"/>
        <v>0</v>
      </c>
      <c r="U415" s="47">
        <f t="shared" ca="1" si="277"/>
        <v>0</v>
      </c>
    </row>
    <row r="416" spans="1:21" ht="19.5" hidden="1" x14ac:dyDescent="0.3">
      <c r="A416" s="129"/>
      <c r="B416" s="160"/>
      <c r="C416" s="160"/>
      <c r="D416" s="739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588">
        <f t="shared" ref="L416:N416" ca="1" si="280">L417+L418</f>
        <v>0</v>
      </c>
      <c r="M416" s="47">
        <f t="shared" ca="1" si="280"/>
        <v>0</v>
      </c>
      <c r="N416" s="47">
        <f t="shared" ca="1" si="280"/>
        <v>0</v>
      </c>
      <c r="O416" s="47">
        <f t="shared" ca="1" si="273"/>
        <v>0</v>
      </c>
      <c r="P416" s="47">
        <f t="shared" ca="1" si="274"/>
        <v>0</v>
      </c>
      <c r="Q416" s="47">
        <f t="shared" ref="Q416:S416" ca="1" si="281">Q417+Q418</f>
        <v>0</v>
      </c>
      <c r="R416" s="47">
        <f t="shared" ca="1" si="281"/>
        <v>0</v>
      </c>
      <c r="S416" s="47">
        <f t="shared" ca="1" si="281"/>
        <v>0</v>
      </c>
      <c r="T416" s="47">
        <f t="shared" ca="1" si="276"/>
        <v>0</v>
      </c>
      <c r="U416" s="47">
        <f t="shared" ca="1" si="277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t="shared" ca="1" si="273"/>
        <v>0</v>
      </c>
      <c r="P418" s="47">
        <f t="shared" ca="1" si="274"/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t="shared" ca="1" si="276"/>
        <v>0</v>
      </c>
      <c r="U418" s="47">
        <f t="shared" ca="1" si="277"/>
        <v>0</v>
      </c>
    </row>
    <row r="419" spans="1:21" ht="19.5" hidden="1" x14ac:dyDescent="0.3">
      <c r="A419" s="129"/>
      <c r="B419" s="160"/>
      <c r="C419" s="160"/>
      <c r="D419" s="739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hidden="1" x14ac:dyDescent="0.3">
      <c r="A422" s="225"/>
      <c r="B422" s="160"/>
      <c r="C422" s="361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4">I440</f>
        <v>0</v>
      </c>
      <c r="J423" s="749">
        <f t="shared" si="284"/>
        <v>0</v>
      </c>
      <c r="K423" s="489">
        <f t="shared" ref="K423:K425" ca="1" si="285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IFERROR(__xludf.DUMMYFUNCTION("IMPORTRANGE(""https://docs.google.com/spreadsheets/d/1eHaY18a8A9IcSdp1K8H6x8fbOy06t2VsZHhMHf-1x7Y/edit?usp=sharing"",""แผน!HJ85"")"),0)</f>
        <v>0</v>
      </c>
      <c r="J424" s="751">
        <f t="shared" ref="J424:J425" si="286">J426+J428+J430</f>
        <v>0</v>
      </c>
      <c r="K424" s="133">
        <f t="shared" ca="1" si="285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IFERROR(__xludf.DUMMYFUNCTION("IMPORTRANGE(""https://docs.google.com/spreadsheets/d/1eHaY18a8A9IcSdp1K8H6x8fbOy06t2VsZHhMHf-1x7Y/edit?usp=sharing"",""แผน!HK85"")"),0)</f>
        <v>0</v>
      </c>
      <c r="J425" s="751">
        <f t="shared" si="286"/>
        <v>0</v>
      </c>
      <c r="K425" s="133">
        <f t="shared" ca="1" si="285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IFERROR(__xludf.DUMMYFUNCTION("IMPORTRANGE(""https://docs.google.com/spreadsheets/d/1eHaY18a8A9IcSdp1K8H6x8fbOy06t2VsZHhMHf-1x7Y/edit?usp=sharing"",""แผน!HJ85"")"),0)</f>
        <v>0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IFERROR(__xludf.DUMMYFUNCTION("IMPORTRANGE(""https://docs.google.com/spreadsheets/d/1eHaY18a8A9IcSdp1K8H6x8fbOy06t2VsZHhMHf-1x7Y/edit?usp=sharing"",""แผน!HK85"")"),0)</f>
        <v>0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IFERROR(__xludf.DUMMYFUNCTION("IMPORTRANGE(""https://docs.google.com/spreadsheets/d/1eHaY18a8A9IcSdp1K8H6x8fbOy06t2VsZHhMHf-1x7Y/edit?usp=sharing"",""แผน!HJ85"")"),0)</f>
        <v>0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IFERROR(__xludf.DUMMYFUNCTION("IMPORTRANGE(""https://docs.google.com/spreadsheets/d/1eHaY18a8A9IcSdp1K8H6x8fbOy06t2VsZHhMHf-1x7Y/edit?usp=sharing"",""แผน!HK85"")"),0)</f>
        <v>0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0</v>
      </c>
      <c r="J456" s="754">
        <f t="shared" si="292"/>
        <v>0</v>
      </c>
      <c r="K456" s="489">
        <f t="shared" ref="K456:K458" ca="1" si="293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hidden="1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IFERROR(__xludf.DUMMYFUNCTION("IMPORTRANGE(""https://docs.google.com/spreadsheets/d/1eHaY18a8A9IcSdp1K8H6x8fbOy06t2VsZHhMHf-1x7Y/edit?usp=sharing"",""แผน!HL85"")"),0)</f>
        <v>0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IFERROR(__xludf.DUMMYFUNCTION("IMPORTRANGE(""https://docs.google.com/spreadsheets/d/1eHaY18a8A9IcSdp1K8H6x8fbOy06t2VsZHhMHf-1x7Y/edit?usp=sharing"",""แผน!HM85"")"),0)</f>
        <v>0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299">J480</f>
        <v>0</v>
      </c>
      <c r="J484" s="763">
        <f t="shared" ref="J484:J485" si="300">J486+J488+J490</f>
        <v>0</v>
      </c>
      <c r="K484" s="764">
        <f t="shared" ref="K484:K485" si="301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299"/>
        <v>0</v>
      </c>
      <c r="J485" s="763">
        <f t="shared" si="300"/>
        <v>0</v>
      </c>
      <c r="K485" s="764">
        <f t="shared" si="301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0</v>
      </c>
      <c r="J492" s="321">
        <f t="shared" ca="1" si="302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3">L494+L495</f>
        <v>0</v>
      </c>
      <c r="M493" s="133">
        <f t="shared" ca="1" si="303"/>
        <v>0</v>
      </c>
      <c r="N493" s="133">
        <f t="shared" ca="1" si="303"/>
        <v>0</v>
      </c>
      <c r="O493" s="133">
        <f t="shared" ref="O493:O501" ca="1" si="304">IF(L493&gt;0,N493*100/L493,0)</f>
        <v>0</v>
      </c>
      <c r="P493" s="133">
        <f t="shared" ref="P493:P501" ca="1" si="305">IF(M493&gt;0,N493*100/M493,0)</f>
        <v>0</v>
      </c>
      <c r="Q493" s="133">
        <f t="shared" ref="Q493:S493" ca="1" si="306">Q494+Q495</f>
        <v>0</v>
      </c>
      <c r="R493" s="133">
        <f t="shared" ca="1" si="306"/>
        <v>0</v>
      </c>
      <c r="S493" s="133">
        <f t="shared" ca="1" si="306"/>
        <v>0</v>
      </c>
      <c r="T493" s="133">
        <f t="shared" ref="T493:T501" ca="1" si="307">IF(Q493&gt;0,S493*100/Q493,0)</f>
        <v>0</v>
      </c>
      <c r="U493" s="133">
        <f t="shared" ref="U493:U501" ca="1" si="308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49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0</v>
      </c>
      <c r="M495" s="47">
        <f t="shared" ca="1" si="309"/>
        <v>0</v>
      </c>
      <c r="N495" s="47">
        <f t="shared" ca="1" si="309"/>
        <v>0</v>
      </c>
      <c r="O495" s="47">
        <f t="shared" ca="1" si="304"/>
        <v>0</v>
      </c>
      <c r="P495" s="47">
        <f t="shared" ca="1" si="305"/>
        <v>0</v>
      </c>
      <c r="Q495" s="47">
        <f t="shared" ca="1" si="310"/>
        <v>0</v>
      </c>
      <c r="R495" s="47">
        <f t="shared" ca="1" si="310"/>
        <v>0</v>
      </c>
      <c r="S495" s="47">
        <f t="shared" ca="1" si="310"/>
        <v>0</v>
      </c>
      <c r="T495" s="47">
        <f t="shared" ca="1" si="307"/>
        <v>0</v>
      </c>
      <c r="U495" s="47">
        <f t="shared" ca="1" si="308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0</v>
      </c>
      <c r="M496" s="47">
        <f t="shared" ca="1" si="311"/>
        <v>0</v>
      </c>
      <c r="N496" s="47">
        <f t="shared" ca="1" si="311"/>
        <v>0</v>
      </c>
      <c r="O496" s="47">
        <f t="shared" ca="1" si="304"/>
        <v>0</v>
      </c>
      <c r="P496" s="47">
        <f t="shared" ca="1" si="305"/>
        <v>0</v>
      </c>
      <c r="Q496" s="47">
        <f t="shared" ref="Q496:S496" ca="1" si="312">Q497+Q498</f>
        <v>0</v>
      </c>
      <c r="R496" s="47">
        <f t="shared" ca="1" si="312"/>
        <v>0</v>
      </c>
      <c r="S496" s="47">
        <f t="shared" ca="1" si="312"/>
        <v>0</v>
      </c>
      <c r="T496" s="47">
        <f t="shared" ca="1" si="307"/>
        <v>0</v>
      </c>
      <c r="U496" s="47">
        <f t="shared" ca="1" si="308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49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t="shared" ca="1" si="304"/>
        <v>0</v>
      </c>
      <c r="P498" s="47">
        <f t="shared" ca="1" si="305"/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t="shared" ca="1" si="307"/>
        <v>0</v>
      </c>
      <c r="U498" s="47">
        <f t="shared" ca="1" si="308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47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49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t="shared" ca="1" si="304"/>
        <v>0</v>
      </c>
      <c r="P501" s="47">
        <f t="shared" ca="1" si="305"/>
        <v>0</v>
      </c>
      <c r="Q501" s="47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IFERROR(__xludf.DUMMYFUNCTION("IMPORTRANGE(""https://docs.google.com/spreadsheets/d/1eHaY18a8A9IcSdp1K8H6x8fbOy06t2VsZHhMHf-1x7Y/edit?usp=sharing"",""แผน!GX85"")"),0)</f>
        <v>0</v>
      </c>
      <c r="J503" s="371">
        <f ca="1">IF(AND(J504=I504,J505=I505,J506=I506,J507=I507),I503,0)</f>
        <v>0</v>
      </c>
      <c r="K503" s="133">
        <f t="shared" ref="K503:K509" ca="1" si="315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IFERROR(__xludf.DUMMYFUNCTION("IMPORTRANGE(""https://docs.google.com/spreadsheets/d/1eHaY18a8A9IcSdp1K8H6x8fbOy06t2VsZHhMHf-1x7Y/edit?usp=sharing"",""แผน!GY85"")"),0)</f>
        <v>0</v>
      </c>
      <c r="J504" s="169">
        <v>0</v>
      </c>
      <c r="K504" s="47">
        <f t="shared" ca="1" si="315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IFERROR(__xludf.DUMMYFUNCTION("IMPORTRANGE(""https://docs.google.com/spreadsheets/d/1eHaY18a8A9IcSdp1K8H6x8fbOy06t2VsZHhMHf-1x7Y/edit?usp=sharing"",""แผน!GZ85"")"),0)</f>
        <v>0</v>
      </c>
      <c r="J505" s="169">
        <v>0</v>
      </c>
      <c r="K505" s="47">
        <f t="shared" ca="1" si="315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IFERROR(__xludf.DUMMYFUNCTION("IMPORTRANGE(""https://docs.google.com/spreadsheets/d/1eHaY18a8A9IcSdp1K8H6x8fbOy06t2VsZHhMHf-1x7Y/edit?usp=sharing"",""แผน!HA85"")"),0)</f>
        <v>0</v>
      </c>
      <c r="J506" s="169">
        <v>0</v>
      </c>
      <c r="K506" s="47">
        <f t="shared" ca="1" si="315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IFERROR(__xludf.DUMMYFUNCTION("IMPORTRANGE(""https://docs.google.com/spreadsheets/d/1eHaY18a8A9IcSdp1K8H6x8fbOy06t2VsZHhMHf-1x7Y/edit?usp=sharing"",""แผน!HB85"")"),0)</f>
        <v>0</v>
      </c>
      <c r="J507" s="169">
        <v>0</v>
      </c>
      <c r="K507" s="47">
        <f t="shared" ca="1" si="315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IFERROR(__xludf.DUMMYFUNCTION("IMPORTRANGE(""https://docs.google.com/spreadsheets/d/1eHaY18a8A9IcSdp1K8H6x8fbOy06t2VsZHhMHf-1x7Y/edit?usp=sharing"",""แผน!HC85"")"),0)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6">I524</f>
        <v>0</v>
      </c>
      <c r="J512" s="855">
        <f t="shared" si="316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7">L514+L515</f>
        <v>0</v>
      </c>
      <c r="M513" s="133">
        <f t="shared" ca="1" si="317"/>
        <v>0</v>
      </c>
      <c r="N513" s="133">
        <f t="shared" ca="1" si="317"/>
        <v>0</v>
      </c>
      <c r="O513" s="133">
        <f t="shared" ref="O513:O521" ca="1" si="318">IF(L513&gt;0,N513*100/L513,0)</f>
        <v>0</v>
      </c>
      <c r="P513" s="133">
        <f t="shared" ref="P513:P521" ca="1" si="319">IF(M513&gt;0,N513*100/M513,0)</f>
        <v>0</v>
      </c>
      <c r="Q513" s="133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49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3"/>
        <v>0</v>
      </c>
      <c r="M515" s="47">
        <f t="shared" ca="1" si="323"/>
        <v>0</v>
      </c>
      <c r="N515" s="47">
        <f t="shared" ca="1" si="323"/>
        <v>0</v>
      </c>
      <c r="O515" s="47">
        <f t="shared" ca="1" si="318"/>
        <v>0</v>
      </c>
      <c r="P515" s="47">
        <f t="shared" ca="1" si="319"/>
        <v>0</v>
      </c>
      <c r="Q515" s="47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47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49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t="shared" ca="1" si="318"/>
        <v>0</v>
      </c>
      <c r="P518" s="47">
        <f t="shared" ca="1" si="319"/>
        <v>0</v>
      </c>
      <c r="Q518" s="47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7">L520+L521</f>
        <v>0</v>
      </c>
      <c r="M519" s="47">
        <f t="shared" ca="1" si="327"/>
        <v>0</v>
      </c>
      <c r="N519" s="47">
        <f t="shared" ca="1" si="327"/>
        <v>0</v>
      </c>
      <c r="O519" s="47">
        <f t="shared" ca="1" si="318"/>
        <v>0</v>
      </c>
      <c r="P519" s="47">
        <f t="shared" ca="1" si="319"/>
        <v>0</v>
      </c>
      <c r="Q519" s="47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49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t="shared" ca="1" si="318"/>
        <v>0</v>
      </c>
      <c r="P521" s="47">
        <f t="shared" ca="1" si="319"/>
        <v>0</v>
      </c>
      <c r="Q521" s="47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9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9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0">I545</f>
        <v>0</v>
      </c>
      <c r="J533" s="818">
        <f t="shared" si="330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133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49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47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47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49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t="shared" ca="1" si="332"/>
        <v>0</v>
      </c>
      <c r="P539" s="47">
        <f t="shared" ca="1" si="333"/>
        <v>0</v>
      </c>
      <c r="Q539" s="47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47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49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t="shared" ca="1" si="332"/>
        <v>0</v>
      </c>
      <c r="P542" s="47">
        <f t="shared" ca="1" si="333"/>
        <v>0</v>
      </c>
      <c r="Q542" s="47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133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49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47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47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49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t="shared" ca="1" si="345"/>
        <v>0</v>
      </c>
      <c r="P560" s="47">
        <f t="shared" ca="1" si="346"/>
        <v>0</v>
      </c>
      <c r="Q560" s="47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47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49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t="shared" ca="1" si="345"/>
        <v>0</v>
      </c>
      <c r="P563" s="47">
        <f t="shared" ca="1" si="346"/>
        <v>0</v>
      </c>
      <c r="Q563" s="47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6">I587</f>
        <v>0</v>
      </c>
      <c r="J575" s="818">
        <f t="shared" si="356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0</v>
      </c>
      <c r="M576" s="133">
        <f t="shared" ca="1" si="357"/>
        <v>0</v>
      </c>
      <c r="N576" s="133">
        <f t="shared" ca="1" si="357"/>
        <v>0</v>
      </c>
      <c r="O576" s="133">
        <f t="shared" ref="O576:O584" ca="1" si="358">IF(L576&gt;0,N576*100/L576,0)</f>
        <v>0</v>
      </c>
      <c r="P576" s="133">
        <f t="shared" ref="P576:P584" ca="1" si="359">IF(M576&gt;0,N576*100/M576,0)</f>
        <v>0</v>
      </c>
      <c r="Q576" s="133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49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0</v>
      </c>
      <c r="M578" s="47">
        <f t="shared" ca="1" si="363"/>
        <v>0</v>
      </c>
      <c r="N578" s="47">
        <f t="shared" ca="1" si="363"/>
        <v>0</v>
      </c>
      <c r="O578" s="47">
        <f t="shared" ca="1" si="358"/>
        <v>0</v>
      </c>
      <c r="P578" s="47">
        <f t="shared" ca="1" si="359"/>
        <v>0</v>
      </c>
      <c r="Q578" s="47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0</v>
      </c>
      <c r="M579" s="47">
        <f t="shared" ca="1" si="365"/>
        <v>0</v>
      </c>
      <c r="N579" s="47">
        <f t="shared" ca="1" si="365"/>
        <v>0</v>
      </c>
      <c r="O579" s="47">
        <f t="shared" ca="1" si="358"/>
        <v>0</v>
      </c>
      <c r="P579" s="47">
        <f t="shared" ca="1" si="359"/>
        <v>0</v>
      </c>
      <c r="Q579" s="47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49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t="shared" ca="1" si="358"/>
        <v>0</v>
      </c>
      <c r="P581" s="47">
        <f t="shared" ca="1" si="359"/>
        <v>0</v>
      </c>
      <c r="Q581" s="47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47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49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t="shared" ca="1" si="358"/>
        <v>0</v>
      </c>
      <c r="P584" s="47">
        <f t="shared" ca="1" si="359"/>
        <v>0</v>
      </c>
      <c r="Q584" s="47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37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69">L600+L601</f>
        <v>10980</v>
      </c>
      <c r="M599" s="441">
        <f t="shared" ca="1" si="369"/>
        <v>10980</v>
      </c>
      <c r="N599" s="441">
        <f t="shared" ca="1" si="369"/>
        <v>5260</v>
      </c>
      <c r="O599" s="441">
        <f t="shared" ref="O599:O607" ca="1" si="370">IF(L599&gt;0,N599*100/L599,0)</f>
        <v>47.905282331511842</v>
      </c>
      <c r="P599" s="441">
        <f t="shared" ref="P599:P607" ca="1" si="371">IF(M599&gt;0,N599*100/M599,0)</f>
        <v>47.905282331511842</v>
      </c>
      <c r="Q599" s="441">
        <f t="shared" ref="Q599:S599" ca="1" si="372">Q600+Q601</f>
        <v>0</v>
      </c>
      <c r="R599" s="441">
        <f t="shared" ca="1" si="372"/>
        <v>0</v>
      </c>
      <c r="S599" s="441">
        <f t="shared" ca="1" si="372"/>
        <v>0</v>
      </c>
      <c r="T599" s="441">
        <f t="shared" ref="T599:T607" ca="1" si="373">IF(Q599&gt;0,S599*100/Q599,0)</f>
        <v>0</v>
      </c>
      <c r="U599" s="441">
        <f t="shared" ref="U599:U607" ca="1" si="374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5">L603+L606</f>
        <v>0</v>
      </c>
      <c r="M600" s="352">
        <f t="shared" si="375"/>
        <v>0</v>
      </c>
      <c r="N600" s="352">
        <f t="shared" si="375"/>
        <v>0</v>
      </c>
      <c r="O600" s="352">
        <f t="shared" si="370"/>
        <v>0</v>
      </c>
      <c r="P600" s="352">
        <f t="shared" si="371"/>
        <v>0</v>
      </c>
      <c r="Q600" s="352">
        <f t="shared" ref="Q600:S601" si="376">Q603+Q606</f>
        <v>0</v>
      </c>
      <c r="R600" s="352">
        <f t="shared" si="376"/>
        <v>0</v>
      </c>
      <c r="S600" s="352">
        <f t="shared" si="376"/>
        <v>0</v>
      </c>
      <c r="T600" s="352">
        <f t="shared" si="373"/>
        <v>0</v>
      </c>
      <c r="U600" s="352">
        <f t="shared" si="374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5"/>
        <v>10980</v>
      </c>
      <c r="M601" s="352">
        <f t="shared" ca="1" si="375"/>
        <v>10980</v>
      </c>
      <c r="N601" s="352">
        <f t="shared" ca="1" si="375"/>
        <v>5260</v>
      </c>
      <c r="O601" s="352">
        <f t="shared" ca="1" si="370"/>
        <v>47.905282331511842</v>
      </c>
      <c r="P601" s="352">
        <f t="shared" ca="1" si="371"/>
        <v>47.905282331511842</v>
      </c>
      <c r="Q601" s="352">
        <f t="shared" ca="1" si="376"/>
        <v>0</v>
      </c>
      <c r="R601" s="352">
        <f t="shared" ca="1" si="376"/>
        <v>0</v>
      </c>
      <c r="S601" s="352">
        <f t="shared" ca="1" si="376"/>
        <v>0</v>
      </c>
      <c r="T601" s="352">
        <f t="shared" ca="1" si="373"/>
        <v>0</v>
      </c>
      <c r="U601" s="352">
        <f t="shared" ca="1" si="374"/>
        <v>0</v>
      </c>
    </row>
    <row r="602" spans="1:21" ht="18.75" x14ac:dyDescent="0.25">
      <c r="A602" s="436"/>
      <c r="B602" s="347"/>
      <c r="C602" s="347"/>
      <c r="D602" s="693" t="s">
        <v>22</v>
      </c>
      <c r="E602" s="444"/>
      <c r="F602" s="444"/>
      <c r="G602" s="445"/>
      <c r="H602" s="446" t="s">
        <v>14</v>
      </c>
      <c r="I602" s="448"/>
      <c r="J602" s="448"/>
      <c r="K602" s="449"/>
      <c r="L602" s="692">
        <f t="shared" ref="L602:N602" ca="1" si="377">L603+L604</f>
        <v>10980</v>
      </c>
      <c r="M602" s="352">
        <f t="shared" ca="1" si="377"/>
        <v>10980</v>
      </c>
      <c r="N602" s="352">
        <f t="shared" ca="1" si="377"/>
        <v>5260</v>
      </c>
      <c r="O602" s="352">
        <f t="shared" ca="1" si="370"/>
        <v>47.905282331511842</v>
      </c>
      <c r="P602" s="352">
        <f t="shared" ca="1" si="371"/>
        <v>47.905282331511842</v>
      </c>
      <c r="Q602" s="352">
        <f t="shared" ref="Q602:S602" ca="1" si="378">Q603+Q604</f>
        <v>0</v>
      </c>
      <c r="R602" s="352">
        <f t="shared" ca="1" si="378"/>
        <v>0</v>
      </c>
      <c r="S602" s="352">
        <f t="shared" ca="1" si="378"/>
        <v>0</v>
      </c>
      <c r="T602" s="352">
        <f t="shared" ca="1" si="373"/>
        <v>0</v>
      </c>
      <c r="U602" s="352">
        <f t="shared" ca="1" si="374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70"/>
        <v>0</v>
      </c>
      <c r="P603" s="352">
        <f t="shared" si="371"/>
        <v>0</v>
      </c>
      <c r="Q603" s="352">
        <v>0</v>
      </c>
      <c r="R603" s="352">
        <v>0</v>
      </c>
      <c r="S603" s="352">
        <v>0</v>
      </c>
      <c r="T603" s="352">
        <f t="shared" si="373"/>
        <v>0</v>
      </c>
      <c r="U603" s="352">
        <f t="shared" si="374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IFERROR(__xludf.DUMMYFUNCTION("IMPORTRANGE(""https://docs.google.com/spreadsheets/d/1-uDff_7J0KD5mKrp0Vvzr7lt3OU09vwQwhkpOPPYv2Y/edit?usp=sharing"",""งบพรบ!HK85"")"),10980)</f>
        <v>10980</v>
      </c>
      <c r="M604" s="352">
        <f ca="1">IFERROR(__xludf.DUMMYFUNCTION("IMPORTRANGE(""https://docs.google.com/spreadsheets/d/1-uDff_7J0KD5mKrp0Vvzr7lt3OU09vwQwhkpOPPYv2Y/edit?usp=sharing"",""งบพรบ!HP85"")"),10980)</f>
        <v>10980</v>
      </c>
      <c r="N604" s="352">
        <f ca="1">IFERROR(__xludf.DUMMYFUNCTION("IMPORTRANGE(""https://docs.google.com/spreadsheets/d/1-uDff_7J0KD5mKrp0Vvzr7lt3OU09vwQwhkpOPPYv2Y/edit?usp=sharing"",""งบพรบ!HR85"")"),5260)</f>
        <v>5260</v>
      </c>
      <c r="O604" s="352">
        <f t="shared" ca="1" si="370"/>
        <v>47.905282331511842</v>
      </c>
      <c r="P604" s="352">
        <f t="shared" ca="1" si="371"/>
        <v>47.905282331511842</v>
      </c>
      <c r="Q604" s="352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352">
        <f t="shared" ca="1" si="373"/>
        <v>0</v>
      </c>
      <c r="U604" s="352">
        <f t="shared" ca="1" si="374"/>
        <v>0</v>
      </c>
    </row>
    <row r="605" spans="1:21" ht="18.75" x14ac:dyDescent="0.25">
      <c r="A605" s="436"/>
      <c r="B605" s="347"/>
      <c r="C605" s="347"/>
      <c r="D605" s="693" t="s">
        <v>23</v>
      </c>
      <c r="E605" s="347"/>
      <c r="F605" s="444"/>
      <c r="G605" s="445"/>
      <c r="H605" s="451" t="s">
        <v>14</v>
      </c>
      <c r="I605" s="448"/>
      <c r="J605" s="448"/>
      <c r="K605" s="449"/>
      <c r="L605" s="692">
        <f t="shared" ref="L605:N605" ca="1" si="379">L606+L607</f>
        <v>0</v>
      </c>
      <c r="M605" s="352">
        <f t="shared" ca="1" si="379"/>
        <v>0</v>
      </c>
      <c r="N605" s="352">
        <f t="shared" ca="1" si="379"/>
        <v>0</v>
      </c>
      <c r="O605" s="352">
        <f t="shared" ca="1" si="370"/>
        <v>0</v>
      </c>
      <c r="P605" s="352">
        <f t="shared" ca="1" si="371"/>
        <v>0</v>
      </c>
      <c r="Q605" s="352">
        <f t="shared" ref="Q605:S605" ca="1" si="380">Q606+Q607</f>
        <v>0</v>
      </c>
      <c r="R605" s="352">
        <f t="shared" ca="1" si="380"/>
        <v>0</v>
      </c>
      <c r="S605" s="352">
        <f t="shared" ca="1" si="380"/>
        <v>0</v>
      </c>
      <c r="T605" s="352">
        <f t="shared" ca="1" si="373"/>
        <v>0</v>
      </c>
      <c r="U605" s="352">
        <f t="shared" ca="1" si="374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692">
        <v>0</v>
      </c>
      <c r="M606" s="352">
        <v>0</v>
      </c>
      <c r="N606" s="352">
        <v>0</v>
      </c>
      <c r="O606" s="352">
        <f t="shared" si="370"/>
        <v>0</v>
      </c>
      <c r="P606" s="352">
        <f t="shared" si="371"/>
        <v>0</v>
      </c>
      <c r="Q606" s="352">
        <v>0</v>
      </c>
      <c r="R606" s="352">
        <v>0</v>
      </c>
      <c r="S606" s="352">
        <v>0</v>
      </c>
      <c r="T606" s="352">
        <f t="shared" si="373"/>
        <v>0</v>
      </c>
      <c r="U606" s="352">
        <f t="shared" si="374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692">
        <f ca="1">IFERROR(__xludf.DUMMYFUNCTION("IMPORTRANGE(""https://docs.google.com/spreadsheets/d/1-uDff_7J0KD5mKrp0Vvzr7lt3OU09vwQwhkpOPPYv2Y/edit?usp=sharing"",""งบพรบ!HN85"")"),0)</f>
        <v>0</v>
      </c>
      <c r="M607" s="352">
        <f ca="1">IFERROR(__xludf.DUMMYFUNCTION("IMPORTRANGE(""https://docs.google.com/spreadsheets/d/1-uDff_7J0KD5mKrp0Vvzr7lt3OU09vwQwhkpOPPYv2Y/edit?usp=sharing"",""งบพรบ!HQ85"")"),0)</f>
        <v>0</v>
      </c>
      <c r="N607" s="352">
        <f ca="1">IFERROR(__xludf.DUMMYFUNCTION("IMPORTRANGE(""https://docs.google.com/spreadsheets/d/1-uDff_7J0KD5mKrp0Vvzr7lt3OU09vwQwhkpOPPYv2Y/edit?usp=sharing"",""งบพรบ!HS85"")"),0)</f>
        <v>0</v>
      </c>
      <c r="O607" s="352">
        <f t="shared" ca="1" si="370"/>
        <v>0</v>
      </c>
      <c r="P607" s="352">
        <f t="shared" ca="1" si="371"/>
        <v>0</v>
      </c>
      <c r="Q607" s="352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352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352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352">
        <f t="shared" ca="1" si="373"/>
        <v>0</v>
      </c>
      <c r="U607" s="352">
        <f t="shared" ca="1" si="374"/>
        <v>0</v>
      </c>
    </row>
    <row r="608" spans="1:21" ht="19.5" hidden="1" x14ac:dyDescent="0.3">
      <c r="A608" s="452"/>
      <c r="B608" s="453"/>
      <c r="C608" s="437" t="s">
        <v>18</v>
      </c>
      <c r="D608" s="694" t="s">
        <v>38</v>
      </c>
      <c r="E608" s="455"/>
      <c r="F608" s="455"/>
      <c r="G608" s="456"/>
      <c r="H608" s="457"/>
      <c r="I608" s="448"/>
      <c r="J608" s="448"/>
      <c r="K608" s="449"/>
      <c r="L608" s="742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hidden="1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742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hidden="1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742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hidden="1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742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9.5" hidden="1" thickBot="1" x14ac:dyDescent="0.3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896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133">
        <f t="shared" ref="Q616:S616" ca="1" si="385">Q617+Q618</f>
        <v>1725</v>
      </c>
      <c r="R616" s="133">
        <f t="shared" ca="1" si="385"/>
        <v>1725</v>
      </c>
      <c r="S616" s="133">
        <f t="shared" ca="1" si="385"/>
        <v>1725</v>
      </c>
      <c r="T616" s="133">
        <f t="shared" ref="T616:T624" ca="1" si="386">IF(Q616&gt;0,S616*100/Q616,0)</f>
        <v>100</v>
      </c>
      <c r="U616" s="133">
        <f t="shared" ref="U616:U624" ca="1" si="387">IF(R616&gt;0,S616*100/R616,0)</f>
        <v>100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49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47">
        <f t="shared" ca="1" si="389"/>
        <v>1725</v>
      </c>
      <c r="R618" s="47">
        <f t="shared" ca="1" si="389"/>
        <v>1725</v>
      </c>
      <c r="S618" s="47">
        <f t="shared" ca="1" si="389"/>
        <v>1725</v>
      </c>
      <c r="T618" s="47">
        <f t="shared" ca="1" si="386"/>
        <v>100</v>
      </c>
      <c r="U618" s="47">
        <f t="shared" ca="1" si="387"/>
        <v>100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47">
        <f t="shared" ref="Q619:S619" ca="1" si="391">Q620+Q621</f>
        <v>1725</v>
      </c>
      <c r="R619" s="47">
        <f t="shared" ca="1" si="391"/>
        <v>1725</v>
      </c>
      <c r="S619" s="47">
        <f t="shared" ca="1" si="391"/>
        <v>1725</v>
      </c>
      <c r="T619" s="47">
        <f t="shared" ca="1" si="386"/>
        <v>100</v>
      </c>
      <c r="U619" s="47">
        <f t="shared" ca="1" si="387"/>
        <v>100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49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t="shared" ca="1" si="386"/>
        <v>100</v>
      </c>
      <c r="U621" s="47">
        <f t="shared" ca="1" si="387"/>
        <v>100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47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49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47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IFERROR(__xludf.DUMMYFUNCTION("IMPORTRANGE(""https://docs.google.com/spreadsheets/d/1eHaY18a8A9IcSdp1K8H6x8fbOy06t2VsZHhMHf-1x7Y/edit?usp=sharing"",""แผน!ID85"")"),0)</f>
        <v>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IFERROR(__xludf.DUMMYFUNCTION("IMPORTRANGE(""https://docs.google.com/spreadsheets/d/1eHaY18a8A9IcSdp1K8H6x8fbOy06t2VsZHhMHf-1x7Y/edit?usp=sharing"",""แผน!IC85"")"),1)</f>
        <v>1</v>
      </c>
      <c r="J627" s="169">
        <v>1</v>
      </c>
      <c r="K627" s="47">
        <f t="shared" ref="K627:K628" ca="1" si="394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IFERROR(__xludf.DUMMYFUNCTION("IMPORTRANGE(""https://docs.google.com/spreadsheets/d/1eHaY18a8A9IcSdp1K8H6x8fbOy06t2VsZHhMHf-1x7Y/edit?usp=sharing"",""แผน!IC85"")"),1)</f>
        <v>1</v>
      </c>
      <c r="J628" s="169">
        <v>1</v>
      </c>
      <c r="K628" s="47">
        <f t="shared" ca="1" si="394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5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5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5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IFERROR(__xludf.DUMMYFUNCTION("IMPORTRANGE(""https://docs.google.com/spreadsheets/d/1eHaY18a8A9IcSdp1K8H6x8fbOy06t2VsZHhMHf-1x7Y/edit?usp=sharing"",""แผน!IE85"")"),0)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6">L643+L644</f>
        <v>0</v>
      </c>
      <c r="M642" s="133">
        <f t="shared" si="396"/>
        <v>0</v>
      </c>
      <c r="N642" s="133">
        <f t="shared" si="396"/>
        <v>0</v>
      </c>
      <c r="O642" s="133">
        <f t="shared" ref="O642:O650" si="397">IF(L642&gt;0,N642*100/L642,0)</f>
        <v>0</v>
      </c>
      <c r="P642" s="133">
        <f t="shared" ref="P642:P650" si="398">IF(M642&gt;0,N642*100/M642,0)</f>
        <v>0</v>
      </c>
      <c r="Q642" s="133">
        <f t="shared" ref="Q642:S642" ca="1" si="399">Q643+Q644</f>
        <v>0</v>
      </c>
      <c r="R642" s="133">
        <f t="shared" ca="1" si="399"/>
        <v>0</v>
      </c>
      <c r="S642" s="133">
        <f t="shared" ca="1" si="399"/>
        <v>0</v>
      </c>
      <c r="T642" s="133">
        <f t="shared" ref="T642:T650" ca="1" si="400">IF(Q642&gt;0,S642*100/Q642,0)</f>
        <v>0</v>
      </c>
      <c r="U642" s="133">
        <f t="shared" ref="U642:U650" ca="1" si="401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2">L646+L649</f>
        <v>0</v>
      </c>
      <c r="M643" s="49">
        <f t="shared" si="402"/>
        <v>0</v>
      </c>
      <c r="N643" s="49">
        <f t="shared" si="402"/>
        <v>0</v>
      </c>
      <c r="O643" s="49">
        <f t="shared" si="397"/>
        <v>0</v>
      </c>
      <c r="P643" s="49">
        <f t="shared" si="398"/>
        <v>0</v>
      </c>
      <c r="Q643" s="49">
        <f t="shared" ref="Q643:S644" si="403">Q646+Q649</f>
        <v>0</v>
      </c>
      <c r="R643" s="49">
        <f t="shared" si="403"/>
        <v>0</v>
      </c>
      <c r="S643" s="49">
        <f t="shared" si="403"/>
        <v>0</v>
      </c>
      <c r="T643" s="49">
        <f t="shared" si="400"/>
        <v>0</v>
      </c>
      <c r="U643" s="49">
        <f t="shared" si="401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2"/>
        <v>0</v>
      </c>
      <c r="M644" s="47">
        <f t="shared" si="402"/>
        <v>0</v>
      </c>
      <c r="N644" s="47">
        <f t="shared" si="402"/>
        <v>0</v>
      </c>
      <c r="O644" s="47">
        <f t="shared" si="397"/>
        <v>0</v>
      </c>
      <c r="P644" s="47">
        <f t="shared" si="398"/>
        <v>0</v>
      </c>
      <c r="Q644" s="47">
        <f t="shared" ca="1" si="403"/>
        <v>0</v>
      </c>
      <c r="R644" s="47">
        <f t="shared" ca="1" si="403"/>
        <v>0</v>
      </c>
      <c r="S644" s="47">
        <f t="shared" ca="1" si="403"/>
        <v>0</v>
      </c>
      <c r="T644" s="47">
        <f t="shared" ca="1" si="400"/>
        <v>0</v>
      </c>
      <c r="U644" s="47">
        <f t="shared" ca="1" si="401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4">L646+L647</f>
        <v>0</v>
      </c>
      <c r="M645" s="47">
        <f t="shared" si="404"/>
        <v>0</v>
      </c>
      <c r="N645" s="47">
        <f t="shared" si="404"/>
        <v>0</v>
      </c>
      <c r="O645" s="47">
        <f t="shared" si="397"/>
        <v>0</v>
      </c>
      <c r="P645" s="47">
        <f t="shared" si="398"/>
        <v>0</v>
      </c>
      <c r="Q645" s="47">
        <f t="shared" ref="Q645:S645" ca="1" si="405">Q646+Q647</f>
        <v>0</v>
      </c>
      <c r="R645" s="47">
        <f t="shared" ca="1" si="405"/>
        <v>0</v>
      </c>
      <c r="S645" s="47">
        <f t="shared" ca="1" si="405"/>
        <v>0</v>
      </c>
      <c r="T645" s="47">
        <f t="shared" ca="1" si="400"/>
        <v>0</v>
      </c>
      <c r="U645" s="47">
        <f t="shared" ca="1" si="401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7"/>
        <v>0</v>
      </c>
      <c r="P646" s="49">
        <f t="shared" si="398"/>
        <v>0</v>
      </c>
      <c r="Q646" s="49">
        <v>0</v>
      </c>
      <c r="R646" s="49">
        <v>0</v>
      </c>
      <c r="S646" s="49">
        <v>0</v>
      </c>
      <c r="T646" s="49">
        <f t="shared" si="400"/>
        <v>0</v>
      </c>
      <c r="U646" s="49">
        <f t="shared" si="401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7"/>
        <v>0</v>
      </c>
      <c r="P647" s="47">
        <f t="shared" si="398"/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t="shared" ca="1" si="400"/>
        <v>0</v>
      </c>
      <c r="U647" s="47">
        <f t="shared" ca="1" si="401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6">L649+L650</f>
        <v>0</v>
      </c>
      <c r="M648" s="47">
        <f t="shared" si="406"/>
        <v>0</v>
      </c>
      <c r="N648" s="47">
        <f t="shared" si="406"/>
        <v>0</v>
      </c>
      <c r="O648" s="47">
        <f t="shared" si="397"/>
        <v>0</v>
      </c>
      <c r="P648" s="47">
        <f t="shared" si="398"/>
        <v>0</v>
      </c>
      <c r="Q648" s="47">
        <f t="shared" ref="Q648:S648" si="407">Q649+Q650</f>
        <v>0</v>
      </c>
      <c r="R648" s="47">
        <f t="shared" si="407"/>
        <v>0</v>
      </c>
      <c r="S648" s="47">
        <f t="shared" si="407"/>
        <v>0</v>
      </c>
      <c r="T648" s="47">
        <f t="shared" si="400"/>
        <v>0</v>
      </c>
      <c r="U648" s="47">
        <f t="shared" si="401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7"/>
        <v>0</v>
      </c>
      <c r="P649" s="49">
        <f t="shared" si="398"/>
        <v>0</v>
      </c>
      <c r="Q649" s="49">
        <v>0</v>
      </c>
      <c r="R649" s="49">
        <v>0</v>
      </c>
      <c r="S649" s="49">
        <v>0</v>
      </c>
      <c r="T649" s="49">
        <f t="shared" si="400"/>
        <v>0</v>
      </c>
      <c r="U649" s="49">
        <f t="shared" si="401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7"/>
        <v>0</v>
      </c>
      <c r="P650" s="47">
        <f t="shared" si="398"/>
        <v>0</v>
      </c>
      <c r="Q650" s="47">
        <v>0</v>
      </c>
      <c r="R650" s="47">
        <v>0</v>
      </c>
      <c r="S650" s="47">
        <v>0</v>
      </c>
      <c r="T650" s="47">
        <f t="shared" si="400"/>
        <v>0</v>
      </c>
      <c r="U650" s="47">
        <f t="shared" si="401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IFERROR(__xludf.DUMMYFUNCTION("IMPORTRANGE(""https://docs.google.com/spreadsheets/d/1eHaY18a8A9IcSdp1K8H6x8fbOy06t2VsZHhMHf-1x7Y/edit?usp=sharing"",""แผน!IF85"")"),0)</f>
        <v>0</v>
      </c>
      <c r="J652" s="37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t="shared" ref="K652:K654" ca="1" si="408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IFERROR(__xludf.DUMMYFUNCTION("IMPORTRANGE(""https://docs.google.com/spreadsheets/d/1eHaY18a8A9IcSdp1K8H6x8fbOy06t2VsZHhMHf-1x7Y/edit?usp=sharing"",""แผน!IG85"")"),0)</f>
        <v>0</v>
      </c>
      <c r="J653" s="37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t="shared" ca="1" si="408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IFERROR(__xludf.DUMMYFUNCTION("IMPORTRANGE(""https://docs.google.com/spreadsheets/d/1eHaY18a8A9IcSdp1K8H6x8fbOy06t2VsZHhMHf-1x7Y/edit?usp=sharing"",""แผน!IH85"")"),0)</f>
        <v>0</v>
      </c>
      <c r="J654" s="371">
        <f>J657+J660</f>
        <v>0</v>
      </c>
      <c r="K654" s="133">
        <f t="shared" ca="1" si="408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IFERROR(__xludf.DUMMYFUNCTION("IMPORTRANGE(""https://docs.google.com/spreadsheets/d/1eHaY18a8A9IcSdp1K8H6x8fbOy06t2VsZHhMHf-1x7Y/edit?usp=sharing"",""แผน!II85"")"),0)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IFERROR(__xludf.DUMMYFUNCTION("IMPORTRANGE(""https://docs.google.com/spreadsheets/d/1eHaY18a8A9IcSdp1K8H6x8fbOy06t2VsZHhMHf-1x7Y/edit?usp=sharing"",""แผน!IJ85"")"),0)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IFERROR(__xludf.DUMMYFUNCTION("IMPORTRANGE(""https://docs.google.com/spreadsheets/d/1eHaY18a8A9IcSdp1K8H6x8fbOy06t2VsZHhMHf-1x7Y/edit?usp=sharing"",""แผน!IK85"")"),0)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IFERROR(__xludf.DUMMYFUNCTION("IMPORTRANGE(""https://docs.google.com/spreadsheets/d/1eHaY18a8A9IcSdp1K8H6x8fbOy06t2VsZHhMHf-1x7Y/edit?usp=sharing"",""แผน!IL85"")"),0)</f>
        <v>0</v>
      </c>
      <c r="J673" s="37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t="shared" ref="K673:K676" ca="1" si="409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IFERROR(__xludf.DUMMYFUNCTION("IMPORTRANGE(""https://docs.google.com/spreadsheets/d/1eHaY18a8A9IcSdp1K8H6x8fbOy06t2VsZHhMHf-1x7Y/edit?usp=sharing"",""แผน!IM85"")"),0)</f>
        <v>0</v>
      </c>
      <c r="J674" s="371">
        <f ca="1">J676+J679</f>
        <v>0</v>
      </c>
      <c r="K674" s="133">
        <f t="shared" ca="1" si="409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IFERROR(__xludf.DUMMYFUNCTION("IMPORTRANGE(""https://docs.google.com/spreadsheets/d/1eHaY18a8A9IcSdp1K8H6x8fbOy06t2VsZHhMHf-1x7Y/edit?usp=sharing"",""แผน!IN85"")"),0)</f>
        <v>0</v>
      </c>
      <c r="J675" s="371">
        <f ca="1">J678+J681</f>
        <v>0</v>
      </c>
      <c r="K675" s="133">
        <f t="shared" ca="1" si="409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IFERROR(__xludf.DUMMYFUNCTION("IMPORTRANGE(""https://docs.google.com/spreadsheets/d/1eHaY18a8A9IcSdp1K8H6x8fbOy06t2VsZHhMHf-1x7Y/edit?usp=sharing"",""แผน!IO85"")"),0)</f>
        <v>0</v>
      </c>
      <c r="J676" s="37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t="shared" ca="1" si="409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IFERROR(__xludf.DUMMYFUNCTION("IMPORTRANGE(""https://docs.google.com/spreadsheets/d/1eHaY18a8A9IcSdp1K8H6x8fbOy06t2VsZHhMHf-1x7Y/edit?usp=sharing"",""แผน!IP85"")"),0)</f>
        <v>0</v>
      </c>
      <c r="J678" s="37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t="shared" ref="K678:K679" ca="1" si="410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IFERROR(__xludf.DUMMYFUNCTION("IMPORTRANGE(""https://docs.google.com/spreadsheets/d/1eHaY18a8A9IcSdp1K8H6x8fbOy06t2VsZHhMHf-1x7Y/edit?usp=sharing"",""แผน!IQ85"")"),0)</f>
        <v>0</v>
      </c>
      <c r="J679" s="37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t="shared" ca="1" si="410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IFERROR(__xludf.DUMMYFUNCTION("IMPORTRANGE(""https://docs.google.com/spreadsheets/d/1eHaY18a8A9IcSdp1K8H6x8fbOy06t2VsZHhMHf-1x7Y/edit?usp=sharing"",""แผน!IR85"")"),0)</f>
        <v>0</v>
      </c>
      <c r="J681" s="37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t="shared" ref="K681:K682" ca="1" si="411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IFERROR(__xludf.DUMMYFUNCTION("IMPORTRANGE(""https://docs.google.com/spreadsheets/d/1eHaY18a8A9IcSdp1K8H6x8fbOy06t2VsZHhMHf-1x7Y/edit?usp=sharing"",""แผน!IS85"")"),0)</f>
        <v>0</v>
      </c>
      <c r="J682" s="371">
        <f>J685+J688</f>
        <v>0</v>
      </c>
      <c r="K682" s="133">
        <f t="shared" ca="1" si="411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2">I707+I709</f>
        <v>3</v>
      </c>
      <c r="J689" s="844">
        <f t="shared" ca="1" si="412"/>
        <v>10</v>
      </c>
      <c r="K689" s="505">
        <f ca="1">IF(I689&gt;0,J689*100/I689,0)</f>
        <v>333.33333333333331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3">L691+L692</f>
        <v>0</v>
      </c>
      <c r="M690" s="133">
        <f t="shared" si="413"/>
        <v>0</v>
      </c>
      <c r="N690" s="133">
        <f t="shared" si="413"/>
        <v>0</v>
      </c>
      <c r="O690" s="133">
        <f t="shared" ref="O690:O698" si="414">IF(L690&gt;0,N690*100/L690,0)</f>
        <v>0</v>
      </c>
      <c r="P690" s="133">
        <f t="shared" ref="P690:P698" si="415">IF(M690&gt;0,N690*100/M690,0)</f>
        <v>0</v>
      </c>
      <c r="Q690" s="133">
        <f t="shared" ref="Q690:S690" ca="1" si="416">Q691+Q692</f>
        <v>66220</v>
      </c>
      <c r="R690" s="133">
        <f t="shared" ca="1" si="416"/>
        <v>59590.09</v>
      </c>
      <c r="S690" s="133">
        <f t="shared" ca="1" si="416"/>
        <v>59590.09</v>
      </c>
      <c r="T690" s="133">
        <f t="shared" ref="T690:T698" ca="1" si="417">IF(Q690&gt;0,S690*100/Q690,0)</f>
        <v>89.988054968287528</v>
      </c>
      <c r="U690" s="133">
        <f t="shared" ref="U690:U698" ca="1" si="418">IF(R690&gt;0,S690*100/R690,0)</f>
        <v>100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9">L694+L697</f>
        <v>0</v>
      </c>
      <c r="M691" s="49">
        <f t="shared" si="419"/>
        <v>0</v>
      </c>
      <c r="N691" s="49">
        <f t="shared" si="419"/>
        <v>0</v>
      </c>
      <c r="O691" s="49">
        <f t="shared" si="414"/>
        <v>0</v>
      </c>
      <c r="P691" s="49">
        <f t="shared" si="415"/>
        <v>0</v>
      </c>
      <c r="Q691" s="49">
        <f t="shared" ref="Q691:S692" si="420">Q694+Q697</f>
        <v>0</v>
      </c>
      <c r="R691" s="49">
        <f t="shared" si="420"/>
        <v>0</v>
      </c>
      <c r="S691" s="49">
        <f t="shared" si="420"/>
        <v>0</v>
      </c>
      <c r="T691" s="49">
        <f t="shared" si="417"/>
        <v>0</v>
      </c>
      <c r="U691" s="49">
        <f t="shared" si="418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9"/>
        <v>0</v>
      </c>
      <c r="M692" s="47">
        <f t="shared" si="419"/>
        <v>0</v>
      </c>
      <c r="N692" s="47">
        <f t="shared" si="419"/>
        <v>0</v>
      </c>
      <c r="O692" s="47">
        <f t="shared" si="414"/>
        <v>0</v>
      </c>
      <c r="P692" s="47">
        <f t="shared" si="415"/>
        <v>0</v>
      </c>
      <c r="Q692" s="47">
        <f t="shared" ca="1" si="420"/>
        <v>66220</v>
      </c>
      <c r="R692" s="47">
        <f t="shared" ca="1" si="420"/>
        <v>59590.09</v>
      </c>
      <c r="S692" s="47">
        <f t="shared" ca="1" si="420"/>
        <v>59590.09</v>
      </c>
      <c r="T692" s="47">
        <f t="shared" ca="1" si="417"/>
        <v>89.988054968287528</v>
      </c>
      <c r="U692" s="47">
        <f t="shared" ca="1" si="418"/>
        <v>100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1">L694+L695</f>
        <v>0</v>
      </c>
      <c r="M693" s="47">
        <f t="shared" si="421"/>
        <v>0</v>
      </c>
      <c r="N693" s="47">
        <f t="shared" si="421"/>
        <v>0</v>
      </c>
      <c r="O693" s="47">
        <f t="shared" si="414"/>
        <v>0</v>
      </c>
      <c r="P693" s="47">
        <f t="shared" si="415"/>
        <v>0</v>
      </c>
      <c r="Q693" s="47">
        <f t="shared" ref="Q693:S693" ca="1" si="422">Q694+Q695</f>
        <v>66220</v>
      </c>
      <c r="R693" s="47">
        <f t="shared" ca="1" si="422"/>
        <v>59590.09</v>
      </c>
      <c r="S693" s="47">
        <f t="shared" ca="1" si="422"/>
        <v>59590.09</v>
      </c>
      <c r="T693" s="47">
        <f t="shared" ca="1" si="417"/>
        <v>89.988054968287528</v>
      </c>
      <c r="U693" s="47">
        <f t="shared" ca="1" si="418"/>
        <v>100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4"/>
        <v>0</v>
      </c>
      <c r="P694" s="49">
        <f t="shared" si="415"/>
        <v>0</v>
      </c>
      <c r="Q694" s="49">
        <v>0</v>
      </c>
      <c r="R694" s="49">
        <v>0</v>
      </c>
      <c r="S694" s="49">
        <v>0</v>
      </c>
      <c r="T694" s="49">
        <f t="shared" si="417"/>
        <v>0</v>
      </c>
      <c r="U694" s="49">
        <f t="shared" si="418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4"/>
        <v>0</v>
      </c>
      <c r="P695" s="47">
        <f t="shared" si="415"/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IFERROR(__xludf.DUMMYFUNCTION("IMPORTRANGE(""https://docs.google.com/spreadsheets/d/1ItG2mGa2ceCfYo0BwxsXqNm01IGEUdYcSSLTEv9YCik/edit?usp=sharing"",""เบิกจ่ายกองทุน!M85"")"),59590.09)</f>
        <v>59590.09</v>
      </c>
      <c r="S695" s="47">
        <f ca="1">IFERROR(__xludf.DUMMYFUNCTION("IMPORTRANGE(""https://docs.google.com/spreadsheets/d/1ItG2mGa2ceCfYo0BwxsXqNm01IGEUdYcSSLTEv9YCik/edit?usp=sharing"",""เบิกจ่ายกองทุน!N85"")"),59590.09)</f>
        <v>59590.09</v>
      </c>
      <c r="T695" s="47">
        <f t="shared" ca="1" si="417"/>
        <v>89.988054968287528</v>
      </c>
      <c r="U695" s="47">
        <f t="shared" ca="1" si="418"/>
        <v>100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3">L697+L698</f>
        <v>0</v>
      </c>
      <c r="M696" s="47">
        <f t="shared" si="423"/>
        <v>0</v>
      </c>
      <c r="N696" s="47">
        <f t="shared" si="423"/>
        <v>0</v>
      </c>
      <c r="O696" s="47">
        <f t="shared" si="414"/>
        <v>0</v>
      </c>
      <c r="P696" s="47">
        <f t="shared" si="415"/>
        <v>0</v>
      </c>
      <c r="Q696" s="47">
        <f t="shared" ref="Q696:S696" si="424">Q697+Q698</f>
        <v>0</v>
      </c>
      <c r="R696" s="47">
        <f t="shared" si="424"/>
        <v>0</v>
      </c>
      <c r="S696" s="47">
        <f t="shared" si="424"/>
        <v>0</v>
      </c>
      <c r="T696" s="47">
        <f t="shared" si="417"/>
        <v>0</v>
      </c>
      <c r="U696" s="47">
        <f t="shared" si="418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4"/>
        <v>0</v>
      </c>
      <c r="P697" s="49">
        <f t="shared" si="415"/>
        <v>0</v>
      </c>
      <c r="Q697" s="49">
        <v>0</v>
      </c>
      <c r="R697" s="49">
        <v>0</v>
      </c>
      <c r="S697" s="49">
        <v>0</v>
      </c>
      <c r="T697" s="49">
        <f t="shared" si="417"/>
        <v>0</v>
      </c>
      <c r="U697" s="49">
        <f t="shared" si="418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4"/>
        <v>0</v>
      </c>
      <c r="P698" s="47">
        <f t="shared" si="415"/>
        <v>0</v>
      </c>
      <c r="Q698" s="47">
        <v>0</v>
      </c>
      <c r="R698" s="47">
        <v>0</v>
      </c>
      <c r="S698" s="47">
        <v>0</v>
      </c>
      <c r="T698" s="47">
        <f t="shared" si="417"/>
        <v>0</v>
      </c>
      <c r="U698" s="47">
        <f t="shared" si="418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IFERROR(__xludf.DUMMYFUNCTION("IMPORTRANGE(""https://docs.google.com/spreadsheets/d/1eHaY18a8A9IcSdp1K8H6x8fbOy06t2VsZHhMHf-1x7Y/edit?usp=sharing"",""แผน!LC85"")"),0)</f>
        <v>0</v>
      </c>
      <c r="J700" s="169">
        <v>0</v>
      </c>
      <c r="K700" s="154">
        <f t="shared" ref="K700:K710" ca="1" si="425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6">I703+I705</f>
        <v>3</v>
      </c>
      <c r="J701" s="371">
        <f t="shared" ca="1" si="426"/>
        <v>10</v>
      </c>
      <c r="K701" s="133">
        <f t="shared" ca="1" si="425"/>
        <v>333.33333333333331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5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IFERROR(__xludf.DUMMYFUNCTION("IMPORTRANGE(""https://docs.google.com/spreadsheets/d/1eHaY18a8A9IcSdp1K8H6x8fbOy06t2VsZHhMHf-1x7Y/edit?usp=sharing"",""แผน!LJ85"")"),0)</f>
        <v>0</v>
      </c>
      <c r="J703" s="37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t="shared" ca="1" si="425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 t="shared" si="425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IFERROR(__xludf.DUMMYFUNCTION("IMPORTRANGE(""https://docs.google.com/spreadsheets/d/1eHaY18a8A9IcSdp1K8H6x8fbOy06t2VsZHhMHf-1x7Y/edit?usp=sharing"",""แผน!LK85"")"),3)</f>
        <v>3</v>
      </c>
      <c r="J705" s="372">
        <f ca="1">IFERROR(__xludf.DUMMYFUNCTION("IMPORTRANGE(""https://docs.google.com/spreadsheets/d/1tdoBKaGub7dwA3U6UFTqxio9LNnvDCQjHKmttSEBsFQ/edit?usp=sharing"",""จัดที่ดิน!AR85"")"),10)</f>
        <v>10</v>
      </c>
      <c r="K705" s="154">
        <f t="shared" ca="1" si="425"/>
        <v>333.33333333333331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 t="shared" si="425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IFERROR(__xludf.DUMMYFUNCTION("IMPORTRANGE(""https://docs.google.com/spreadsheets/d/1eHaY18a8A9IcSdp1K8H6x8fbOy06t2VsZHhMHf-1x7Y/edit?usp=sharing"",""แผน!LJ85"")"),0)</f>
        <v>0</v>
      </c>
      <c r="J707" s="37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t="shared" ca="1" si="425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 t="shared" si="425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IFERROR(__xludf.DUMMYFUNCTION("IMPORTRANGE(""https://docs.google.com/spreadsheets/d/1eHaY18a8A9IcSdp1K8H6x8fbOy06t2VsZHhMHf-1x7Y/edit?usp=sharing"",""แผน!LK85"")"),3)</f>
        <v>3</v>
      </c>
      <c r="J709" s="372">
        <f ca="1">IFERROR(__xludf.DUMMYFUNCTION("IMPORTRANGE(""https://docs.google.com/spreadsheets/d/1tdoBKaGub7dwA3U6UFTqxio9LNnvDCQjHKmttSEBsFQ/edit?usp=sharing"",""จัดที่ดิน!BP85"")"),10)</f>
        <v>10</v>
      </c>
      <c r="K709" s="47">
        <f t="shared" ca="1" si="425"/>
        <v>333.33333333333331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 t="shared" si="425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7">L715+L716</f>
        <v>0</v>
      </c>
      <c r="M714" s="133">
        <f t="shared" si="427"/>
        <v>0</v>
      </c>
      <c r="N714" s="133">
        <f t="shared" si="427"/>
        <v>0</v>
      </c>
      <c r="O714" s="133">
        <f t="shared" ref="O714:O722" si="428">IF(L714&gt;0,N714*100/L714,0)</f>
        <v>0</v>
      </c>
      <c r="P714" s="133">
        <f t="shared" ref="P714:P722" si="429">IF(M714&gt;0,N714*100/M714,0)</f>
        <v>0</v>
      </c>
      <c r="Q714" s="133">
        <f t="shared" ref="Q714:S714" si="430">Q715+Q716</f>
        <v>0</v>
      </c>
      <c r="R714" s="133">
        <f t="shared" si="430"/>
        <v>0</v>
      </c>
      <c r="S714" s="133">
        <f t="shared" si="430"/>
        <v>0</v>
      </c>
      <c r="T714" s="133">
        <f t="shared" ref="T714:T722" si="431">IF(Q714&gt;0,S714*100/Q714,0)</f>
        <v>0</v>
      </c>
      <c r="U714" s="133">
        <f t="shared" ref="U714:U722" si="432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3">L718+L721</f>
        <v>0</v>
      </c>
      <c r="M715" s="49">
        <f t="shared" si="433"/>
        <v>0</v>
      </c>
      <c r="N715" s="49">
        <f t="shared" si="433"/>
        <v>0</v>
      </c>
      <c r="O715" s="49">
        <f t="shared" si="428"/>
        <v>0</v>
      </c>
      <c r="P715" s="49">
        <f t="shared" si="429"/>
        <v>0</v>
      </c>
      <c r="Q715" s="49">
        <f t="shared" ref="Q715:S716" si="434">Q718+Q721</f>
        <v>0</v>
      </c>
      <c r="R715" s="49">
        <f t="shared" si="434"/>
        <v>0</v>
      </c>
      <c r="S715" s="49">
        <f t="shared" si="434"/>
        <v>0</v>
      </c>
      <c r="T715" s="49">
        <f t="shared" si="431"/>
        <v>0</v>
      </c>
      <c r="U715" s="49">
        <f t="shared" si="432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3"/>
        <v>0</v>
      </c>
      <c r="M716" s="47">
        <f t="shared" si="433"/>
        <v>0</v>
      </c>
      <c r="N716" s="47">
        <f t="shared" si="433"/>
        <v>0</v>
      </c>
      <c r="O716" s="47">
        <f t="shared" si="428"/>
        <v>0</v>
      </c>
      <c r="P716" s="47">
        <f t="shared" si="429"/>
        <v>0</v>
      </c>
      <c r="Q716" s="47">
        <f t="shared" si="434"/>
        <v>0</v>
      </c>
      <c r="R716" s="47">
        <f t="shared" si="434"/>
        <v>0</v>
      </c>
      <c r="S716" s="47">
        <f t="shared" si="434"/>
        <v>0</v>
      </c>
      <c r="T716" s="47">
        <f t="shared" si="431"/>
        <v>0</v>
      </c>
      <c r="U716" s="47">
        <f t="shared" si="432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5">L718+L719</f>
        <v>0</v>
      </c>
      <c r="M717" s="47">
        <f t="shared" si="435"/>
        <v>0</v>
      </c>
      <c r="N717" s="47">
        <f t="shared" si="435"/>
        <v>0</v>
      </c>
      <c r="O717" s="47">
        <f t="shared" si="428"/>
        <v>0</v>
      </c>
      <c r="P717" s="47">
        <f t="shared" si="429"/>
        <v>0</v>
      </c>
      <c r="Q717" s="47">
        <f t="shared" ref="Q717:S717" si="436">Q718+Q719</f>
        <v>0</v>
      </c>
      <c r="R717" s="47">
        <f t="shared" si="436"/>
        <v>0</v>
      </c>
      <c r="S717" s="47">
        <f t="shared" si="436"/>
        <v>0</v>
      </c>
      <c r="T717" s="47">
        <f t="shared" si="431"/>
        <v>0</v>
      </c>
      <c r="U717" s="47">
        <f t="shared" si="432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8"/>
        <v>0</v>
      </c>
      <c r="P718" s="49">
        <f t="shared" si="429"/>
        <v>0</v>
      </c>
      <c r="Q718" s="49">
        <v>0</v>
      </c>
      <c r="R718" s="49">
        <v>0</v>
      </c>
      <c r="S718" s="49">
        <v>0</v>
      </c>
      <c r="T718" s="49">
        <f t="shared" si="431"/>
        <v>0</v>
      </c>
      <c r="U718" s="49">
        <f t="shared" si="432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8"/>
        <v>0</v>
      </c>
      <c r="P719" s="47">
        <f t="shared" si="429"/>
        <v>0</v>
      </c>
      <c r="Q719" s="47">
        <v>0</v>
      </c>
      <c r="R719" s="47">
        <v>0</v>
      </c>
      <c r="S719" s="47">
        <v>0</v>
      </c>
      <c r="T719" s="47">
        <f t="shared" si="431"/>
        <v>0</v>
      </c>
      <c r="U719" s="47">
        <f t="shared" si="432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7">L721+L722</f>
        <v>0</v>
      </c>
      <c r="M720" s="47">
        <f t="shared" si="437"/>
        <v>0</v>
      </c>
      <c r="N720" s="47">
        <f t="shared" si="437"/>
        <v>0</v>
      </c>
      <c r="O720" s="47">
        <f t="shared" si="428"/>
        <v>0</v>
      </c>
      <c r="P720" s="47">
        <f t="shared" si="429"/>
        <v>0</v>
      </c>
      <c r="Q720" s="47">
        <f t="shared" ref="Q720:S720" si="438">Q721+Q722</f>
        <v>0</v>
      </c>
      <c r="R720" s="47">
        <f t="shared" si="438"/>
        <v>0</v>
      </c>
      <c r="S720" s="47">
        <f t="shared" si="438"/>
        <v>0</v>
      </c>
      <c r="T720" s="47">
        <f t="shared" si="431"/>
        <v>0</v>
      </c>
      <c r="U720" s="47">
        <f t="shared" si="432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8"/>
        <v>0</v>
      </c>
      <c r="P721" s="49">
        <f t="shared" si="429"/>
        <v>0</v>
      </c>
      <c r="Q721" s="49">
        <v>0</v>
      </c>
      <c r="R721" s="49">
        <v>0</v>
      </c>
      <c r="S721" s="49">
        <v>0</v>
      </c>
      <c r="T721" s="49">
        <f t="shared" si="431"/>
        <v>0</v>
      </c>
      <c r="U721" s="49">
        <f t="shared" si="432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8"/>
        <v>0</v>
      </c>
      <c r="P722" s="47">
        <f t="shared" si="429"/>
        <v>0</v>
      </c>
      <c r="Q722" s="47">
        <v>0</v>
      </c>
      <c r="R722" s="47">
        <v>0</v>
      </c>
      <c r="S722" s="47">
        <v>0</v>
      </c>
      <c r="T722" s="47">
        <f t="shared" si="431"/>
        <v>0</v>
      </c>
      <c r="U722" s="47">
        <f t="shared" si="432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IFERROR(__xludf.DUMMYFUNCTION("IMPORTRANGE(""https://docs.google.com/spreadsheets/d/1eHaY18a8A9IcSdp1K8H6x8fbOy06t2VsZHhMHf-1x7Y/edit?usp=sharing"",""แผน!GA85"")"),51)</f>
        <v>51</v>
      </c>
      <c r="J726" s="504">
        <f>J742+J746+J749</f>
        <v>51</v>
      </c>
      <c r="K726" s="505">
        <f t="shared" ref="K726:K727" ca="1" si="439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IFERROR(__xludf.DUMMYFUNCTION("IMPORTRANGE(""https://docs.google.com/spreadsheets/d/1eHaY18a8A9IcSdp1K8H6x8fbOy06t2VsZHhMHf-1x7Y/edit?usp=sharing"",""แผน!FZ85"")"),500)</f>
        <v>500</v>
      </c>
      <c r="J727" s="504">
        <f>J752+J755</f>
        <v>570</v>
      </c>
      <c r="K727" s="505">
        <f t="shared" ca="1" si="439"/>
        <v>114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0">L729+L730</f>
        <v>0</v>
      </c>
      <c r="M728" s="133">
        <f t="shared" si="440"/>
        <v>0</v>
      </c>
      <c r="N728" s="133">
        <f t="shared" si="440"/>
        <v>0</v>
      </c>
      <c r="O728" s="133">
        <f t="shared" ref="O728:O736" si="441">IF(L728&gt;0,N728*100/L728,0)</f>
        <v>0</v>
      </c>
      <c r="P728" s="133">
        <f t="shared" ref="P728:P736" si="442">IF(M728&gt;0,N728*100/M728,0)</f>
        <v>0</v>
      </c>
      <c r="Q728" s="133">
        <f t="shared" ref="Q728:S728" ca="1" si="443">Q729+Q730</f>
        <v>379090</v>
      </c>
      <c r="R728" s="133">
        <f t="shared" ca="1" si="443"/>
        <v>339090</v>
      </c>
      <c r="S728" s="133">
        <f t="shared" ca="1" si="443"/>
        <v>336720</v>
      </c>
      <c r="T728" s="133">
        <f t="shared" ref="T728:T736" ca="1" si="444">IF(Q728&gt;0,S728*100/Q728,0)</f>
        <v>88.823234588092532</v>
      </c>
      <c r="U728" s="133">
        <f t="shared" ref="U728:U736" ca="1" si="445">IF(R728&gt;0,S728*100/R728,0)</f>
        <v>99.301070512253389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6">L732+L735</f>
        <v>0</v>
      </c>
      <c r="M729" s="49">
        <f t="shared" si="446"/>
        <v>0</v>
      </c>
      <c r="N729" s="49">
        <f t="shared" si="446"/>
        <v>0</v>
      </c>
      <c r="O729" s="49">
        <f t="shared" si="441"/>
        <v>0</v>
      </c>
      <c r="P729" s="49">
        <f t="shared" si="442"/>
        <v>0</v>
      </c>
      <c r="Q729" s="49">
        <f t="shared" ref="Q729:S730" si="447">Q732+Q735</f>
        <v>0</v>
      </c>
      <c r="R729" s="49">
        <f t="shared" si="447"/>
        <v>0</v>
      </c>
      <c r="S729" s="49">
        <f t="shared" si="447"/>
        <v>0</v>
      </c>
      <c r="T729" s="49">
        <f t="shared" si="444"/>
        <v>0</v>
      </c>
      <c r="U729" s="49">
        <f t="shared" si="445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6"/>
        <v>0</v>
      </c>
      <c r="M730" s="47">
        <f t="shared" si="446"/>
        <v>0</v>
      </c>
      <c r="N730" s="47">
        <f t="shared" si="446"/>
        <v>0</v>
      </c>
      <c r="O730" s="47">
        <f t="shared" si="441"/>
        <v>0</v>
      </c>
      <c r="P730" s="47">
        <f t="shared" si="442"/>
        <v>0</v>
      </c>
      <c r="Q730" s="47">
        <f t="shared" ca="1" si="447"/>
        <v>379090</v>
      </c>
      <c r="R730" s="47">
        <f t="shared" ca="1" si="447"/>
        <v>339090</v>
      </c>
      <c r="S730" s="47">
        <f t="shared" ca="1" si="447"/>
        <v>336720</v>
      </c>
      <c r="T730" s="47">
        <f t="shared" ca="1" si="444"/>
        <v>88.823234588092532</v>
      </c>
      <c r="U730" s="47">
        <f t="shared" ca="1" si="445"/>
        <v>99.301070512253389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8">L732+L733</f>
        <v>0</v>
      </c>
      <c r="M731" s="47">
        <f t="shared" si="448"/>
        <v>0</v>
      </c>
      <c r="N731" s="47">
        <f t="shared" si="448"/>
        <v>0</v>
      </c>
      <c r="O731" s="47">
        <f t="shared" si="441"/>
        <v>0</v>
      </c>
      <c r="P731" s="47">
        <f t="shared" si="442"/>
        <v>0</v>
      </c>
      <c r="Q731" s="47">
        <f t="shared" ref="Q731:S731" ca="1" si="449">Q732+Q733</f>
        <v>379090</v>
      </c>
      <c r="R731" s="47">
        <f t="shared" ca="1" si="449"/>
        <v>339090</v>
      </c>
      <c r="S731" s="47">
        <f t="shared" ca="1" si="449"/>
        <v>336720</v>
      </c>
      <c r="T731" s="47">
        <f t="shared" ca="1" si="444"/>
        <v>88.823234588092532</v>
      </c>
      <c r="U731" s="47">
        <f t="shared" ca="1" si="445"/>
        <v>99.301070512253389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1"/>
        <v>0</v>
      </c>
      <c r="P732" s="49">
        <f t="shared" si="442"/>
        <v>0</v>
      </c>
      <c r="Q732" s="49">
        <v>0</v>
      </c>
      <c r="R732" s="49">
        <v>0</v>
      </c>
      <c r="S732" s="49">
        <v>0</v>
      </c>
      <c r="T732" s="49">
        <f t="shared" si="444"/>
        <v>0</v>
      </c>
      <c r="U732" s="49">
        <f t="shared" si="445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1"/>
        <v>0</v>
      </c>
      <c r="P733" s="47">
        <f t="shared" si="442"/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IFERROR(__xludf.DUMMYFUNCTION("IMPORTRANGE(""https://docs.google.com/spreadsheets/d/1ItG2mGa2ceCfYo0BwxsXqNm01IGEUdYcSSLTEv9YCik/edit?usp=sharing"",""เบิกจ่ายกองทุน!P85"")"),339090)</f>
        <v>339090</v>
      </c>
      <c r="S733" s="47">
        <f ca="1">IFERROR(__xludf.DUMMYFUNCTION("IMPORTRANGE(""https://docs.google.com/spreadsheets/d/1ItG2mGa2ceCfYo0BwxsXqNm01IGEUdYcSSLTEv9YCik/edit?usp=sharing"",""เบิกจ่ายกองทุน!Q85"")"),336720)</f>
        <v>336720</v>
      </c>
      <c r="T733" s="47">
        <f t="shared" ca="1" si="444"/>
        <v>88.823234588092532</v>
      </c>
      <c r="U733" s="47">
        <f t="shared" ca="1" si="445"/>
        <v>99.301070512253389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0">L735+L736</f>
        <v>0</v>
      </c>
      <c r="M734" s="47">
        <f t="shared" si="450"/>
        <v>0</v>
      </c>
      <c r="N734" s="47">
        <f t="shared" si="450"/>
        <v>0</v>
      </c>
      <c r="O734" s="47">
        <f t="shared" si="441"/>
        <v>0</v>
      </c>
      <c r="P734" s="47">
        <f t="shared" si="442"/>
        <v>0</v>
      </c>
      <c r="Q734" s="47">
        <f t="shared" ref="Q734:S734" si="451">Q735+Q736</f>
        <v>0</v>
      </c>
      <c r="R734" s="47">
        <f t="shared" si="451"/>
        <v>0</v>
      </c>
      <c r="S734" s="47">
        <f t="shared" si="451"/>
        <v>0</v>
      </c>
      <c r="T734" s="47">
        <f t="shared" si="444"/>
        <v>0</v>
      </c>
      <c r="U734" s="47">
        <f t="shared" si="445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1"/>
        <v>0</v>
      </c>
      <c r="P735" s="49">
        <f t="shared" si="442"/>
        <v>0</v>
      </c>
      <c r="Q735" s="49">
        <v>0</v>
      </c>
      <c r="R735" s="49">
        <v>0</v>
      </c>
      <c r="S735" s="49">
        <v>0</v>
      </c>
      <c r="T735" s="49">
        <f t="shared" si="444"/>
        <v>0</v>
      </c>
      <c r="U735" s="49">
        <f t="shared" si="445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1"/>
        <v>0</v>
      </c>
      <c r="P736" s="47">
        <f t="shared" si="442"/>
        <v>0</v>
      </c>
      <c r="Q736" s="47">
        <v>0</v>
      </c>
      <c r="R736" s="47">
        <v>0</v>
      </c>
      <c r="S736" s="47">
        <v>0</v>
      </c>
      <c r="T736" s="47">
        <f t="shared" si="444"/>
        <v>0</v>
      </c>
      <c r="U736" s="47">
        <f t="shared" si="445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52"/>
      <c r="B739" s="453"/>
      <c r="C739" s="453"/>
      <c r="D739" s="453"/>
      <c r="E739" s="458" t="s">
        <v>277</v>
      </c>
      <c r="F739" s="453"/>
      <c r="G739" s="459"/>
      <c r="H739" s="349"/>
      <c r="I739" s="440"/>
      <c r="J739" s="440"/>
      <c r="K739" s="353"/>
      <c r="L739" s="742"/>
      <c r="M739" s="353"/>
      <c r="N739" s="353"/>
      <c r="O739" s="353"/>
      <c r="P739" s="353"/>
      <c r="Q739" s="353"/>
      <c r="R739" s="353"/>
      <c r="S739" s="353"/>
      <c r="T739" s="353"/>
      <c r="U739" s="353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IFERROR(__xludf.DUMMYFUNCTION("IMPORTRANGE(""https://docs.google.com/spreadsheets/d/1eHaY18a8A9IcSdp1K8H6x8fbOy06t2VsZHhMHf-1x7Y/edit?usp=sharing"",""แผน!GB85"")"),400)</f>
        <v>400</v>
      </c>
      <c r="J740" s="795">
        <v>455</v>
      </c>
      <c r="K740" s="352">
        <f ca="1">IF(I740&gt;0,J740*100/I740,0)</f>
        <v>113.75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40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IFERROR(__xludf.DUMMYFUNCTION("IMPORTRANGE(""https://docs.google.com/spreadsheets/d/1eHaY18a8A9IcSdp1K8H6x8fbOy06t2VsZHhMHf-1x7Y/edit?usp=sharing"",""แผน!GC85"")"),40)</f>
        <v>40</v>
      </c>
      <c r="J742" s="795">
        <v>40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IFERROR(__xludf.DUMMYFUNCTION("IMPORTRANGE(""https://docs.google.com/spreadsheets/d/1eHaY18a8A9IcSdp1K8H6x8fbOy06t2VsZHhMHf-1x7Y/edit?usp=sharing"",""แผน!GD85"")"),100)</f>
        <v>100</v>
      </c>
      <c r="J744" s="795">
        <v>115</v>
      </c>
      <c r="K744" s="352">
        <f ca="1">IF(I744&gt;0,J744*100/I744,0)</f>
        <v>115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10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IFERROR(__xludf.DUMMYFUNCTION("IMPORTRANGE(""https://docs.google.com/spreadsheets/d/1eHaY18a8A9IcSdp1K8H6x8fbOy06t2VsZHhMHf-1x7Y/edit?usp=sharing"",""แผน!GE85"")"),10)</f>
        <v>10</v>
      </c>
      <c r="J746" s="795">
        <v>10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8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IFERROR(__xludf.DUMMYFUNCTION("IMPORTRANGE(""https://docs.google.com/spreadsheets/d/1eHaY18a8A9IcSdp1K8H6x8fbOy06t2VsZHhMHf-1x7Y/edit?usp=sharing"",""แผน!GF85"")"),1)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IFERROR(__xludf.DUMMYFUNCTION("IMPORTRANGE(""https://docs.google.com/spreadsheets/d/1eHaY18a8A9IcSdp1K8H6x8fbOy06t2VsZHhMHf-1x7Y/edit?usp=sharing"",""แผน!GB85"")"),400)</f>
        <v>400</v>
      </c>
      <c r="J752" s="795">
        <v>455</v>
      </c>
      <c r="K752" s="352">
        <f ca="1">IF(I752&gt;0,J752*100/I752,0)</f>
        <v>113.75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455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IFERROR(__xludf.DUMMYFUNCTION("IMPORTRANGE(""https://docs.google.com/spreadsheets/d/1eHaY18a8A9IcSdp1K8H6x8fbOy06t2VsZHhMHf-1x7Y/edit?usp=sharing"",""แผน!GD85"")"),100)</f>
        <v>100</v>
      </c>
      <c r="J755" s="795">
        <v>115</v>
      </c>
      <c r="K755" s="352">
        <f ca="1">IF(I755&gt;0,J755*100/I755,0)</f>
        <v>115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115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2">I772</f>
        <v>20</v>
      </c>
      <c r="J758" s="504">
        <f t="shared" si="452"/>
        <v>20</v>
      </c>
      <c r="K758" s="505">
        <f t="shared" ref="K758:K759" ca="1" si="453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4">I774</f>
        <v>20</v>
      </c>
      <c r="J759" s="504">
        <f t="shared" si="454"/>
        <v>20</v>
      </c>
      <c r="K759" s="505">
        <f t="shared" ca="1" si="453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5">L761+L762</f>
        <v>0</v>
      </c>
      <c r="M760" s="133">
        <f t="shared" si="455"/>
        <v>0</v>
      </c>
      <c r="N760" s="133">
        <f t="shared" si="455"/>
        <v>0</v>
      </c>
      <c r="O760" s="133">
        <f t="shared" ref="O760:O768" si="456">IF(L760&gt;0,N760*100/L760,0)</f>
        <v>0</v>
      </c>
      <c r="P760" s="133">
        <f t="shared" ref="P760:P768" si="457">IF(M760&gt;0,N760*100/M760,0)</f>
        <v>0</v>
      </c>
      <c r="Q760" s="133">
        <f t="shared" ref="Q760:S760" ca="1" si="458">Q761+Q762</f>
        <v>109660</v>
      </c>
      <c r="R760" s="133">
        <f t="shared" ca="1" si="458"/>
        <v>109660</v>
      </c>
      <c r="S760" s="133">
        <f t="shared" ca="1" si="458"/>
        <v>108420</v>
      </c>
      <c r="T760" s="133">
        <f t="shared" ref="T760:T768" ca="1" si="459">IF(Q760&gt;0,S760*100/Q760,0)</f>
        <v>98.869232172168523</v>
      </c>
      <c r="U760" s="133">
        <f t="shared" ref="U760:U768" ca="1" si="460">IF(R760&gt;0,S760*100/R760,0)</f>
        <v>98.869232172168523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1">L764+L767</f>
        <v>0</v>
      </c>
      <c r="M761" s="49">
        <f t="shared" si="461"/>
        <v>0</v>
      </c>
      <c r="N761" s="49">
        <f t="shared" si="461"/>
        <v>0</v>
      </c>
      <c r="O761" s="49">
        <f t="shared" si="456"/>
        <v>0</v>
      </c>
      <c r="P761" s="49">
        <f t="shared" si="457"/>
        <v>0</v>
      </c>
      <c r="Q761" s="49">
        <f t="shared" ref="Q761:S762" si="462">Q764+Q767</f>
        <v>0</v>
      </c>
      <c r="R761" s="49">
        <f t="shared" si="462"/>
        <v>0</v>
      </c>
      <c r="S761" s="49">
        <f t="shared" si="462"/>
        <v>0</v>
      </c>
      <c r="T761" s="49">
        <f t="shared" si="459"/>
        <v>0</v>
      </c>
      <c r="U761" s="49">
        <f t="shared" si="460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1"/>
        <v>0</v>
      </c>
      <c r="M762" s="47">
        <f t="shared" si="461"/>
        <v>0</v>
      </c>
      <c r="N762" s="47">
        <f t="shared" si="461"/>
        <v>0</v>
      </c>
      <c r="O762" s="47">
        <f t="shared" si="456"/>
        <v>0</v>
      </c>
      <c r="P762" s="47">
        <f t="shared" si="457"/>
        <v>0</v>
      </c>
      <c r="Q762" s="47">
        <f t="shared" ca="1" si="462"/>
        <v>109660</v>
      </c>
      <c r="R762" s="47">
        <f t="shared" ca="1" si="462"/>
        <v>109660</v>
      </c>
      <c r="S762" s="47">
        <f t="shared" ca="1" si="462"/>
        <v>108420</v>
      </c>
      <c r="T762" s="47">
        <f t="shared" ca="1" si="459"/>
        <v>98.869232172168523</v>
      </c>
      <c r="U762" s="47">
        <f t="shared" ca="1" si="460"/>
        <v>98.869232172168523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3">L764+L765</f>
        <v>0</v>
      </c>
      <c r="M763" s="47">
        <f t="shared" si="463"/>
        <v>0</v>
      </c>
      <c r="N763" s="47">
        <f t="shared" si="463"/>
        <v>0</v>
      </c>
      <c r="O763" s="47">
        <f t="shared" si="456"/>
        <v>0</v>
      </c>
      <c r="P763" s="47">
        <f t="shared" si="457"/>
        <v>0</v>
      </c>
      <c r="Q763" s="47">
        <f t="shared" ref="Q763:S763" ca="1" si="464">Q764+Q765</f>
        <v>109660</v>
      </c>
      <c r="R763" s="47">
        <f t="shared" ca="1" si="464"/>
        <v>109660</v>
      </c>
      <c r="S763" s="47">
        <f t="shared" ca="1" si="464"/>
        <v>108420</v>
      </c>
      <c r="T763" s="47">
        <f t="shared" ca="1" si="459"/>
        <v>98.869232172168523</v>
      </c>
      <c r="U763" s="47">
        <f t="shared" ca="1" si="460"/>
        <v>98.869232172168523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6"/>
        <v>0</v>
      </c>
      <c r="P764" s="49">
        <f t="shared" si="457"/>
        <v>0</v>
      </c>
      <c r="Q764" s="49">
        <v>0</v>
      </c>
      <c r="R764" s="49">
        <v>0</v>
      </c>
      <c r="S764" s="49">
        <v>0</v>
      </c>
      <c r="T764" s="49">
        <f t="shared" si="459"/>
        <v>0</v>
      </c>
      <c r="U764" s="49">
        <f t="shared" si="460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6"/>
        <v>0</v>
      </c>
      <c r="P765" s="47">
        <f t="shared" si="457"/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IFERROR(__xludf.DUMMYFUNCTION("IMPORTRANGE(""https://docs.google.com/spreadsheets/d/1ItG2mGa2ceCfYo0BwxsXqNm01IGEUdYcSSLTEv9YCik/edit?usp=sharing"",""เบิกจ่ายกองทุน!AC85"")"),108420)</f>
        <v>108420</v>
      </c>
      <c r="T765" s="47">
        <f t="shared" ca="1" si="459"/>
        <v>98.869232172168523</v>
      </c>
      <c r="U765" s="47">
        <f t="shared" ca="1" si="460"/>
        <v>98.869232172168523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5">L767+L768</f>
        <v>0</v>
      </c>
      <c r="M766" s="47">
        <f t="shared" si="465"/>
        <v>0</v>
      </c>
      <c r="N766" s="47">
        <f t="shared" si="465"/>
        <v>0</v>
      </c>
      <c r="O766" s="47">
        <f t="shared" si="456"/>
        <v>0</v>
      </c>
      <c r="P766" s="47">
        <f t="shared" si="457"/>
        <v>0</v>
      </c>
      <c r="Q766" s="47">
        <f t="shared" ref="Q766:S766" si="466">Q767+Q768</f>
        <v>0</v>
      </c>
      <c r="R766" s="47">
        <f t="shared" si="466"/>
        <v>0</v>
      </c>
      <c r="S766" s="47">
        <f t="shared" si="466"/>
        <v>0</v>
      </c>
      <c r="T766" s="47">
        <f t="shared" si="459"/>
        <v>0</v>
      </c>
      <c r="U766" s="47">
        <f t="shared" si="460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6"/>
        <v>0</v>
      </c>
      <c r="P767" s="49">
        <f t="shared" si="457"/>
        <v>0</v>
      </c>
      <c r="Q767" s="49">
        <v>0</v>
      </c>
      <c r="R767" s="49">
        <v>0</v>
      </c>
      <c r="S767" s="49">
        <v>0</v>
      </c>
      <c r="T767" s="49">
        <f t="shared" si="459"/>
        <v>0</v>
      </c>
      <c r="U767" s="49">
        <f t="shared" si="460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6"/>
        <v>0</v>
      </c>
      <c r="P768" s="47">
        <f t="shared" si="457"/>
        <v>0</v>
      </c>
      <c r="Q768" s="47">
        <v>0</v>
      </c>
      <c r="R768" s="47">
        <v>0</v>
      </c>
      <c r="S768" s="47">
        <v>0</v>
      </c>
      <c r="T768" s="47">
        <f t="shared" si="459"/>
        <v>0</v>
      </c>
      <c r="U768" s="47">
        <f t="shared" si="460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IFERROR(__xludf.DUMMYFUNCTION("IMPORTRANGE(""https://docs.google.com/spreadsheets/d/1eHaY18a8A9IcSdp1K8H6x8fbOy06t2VsZHhMHf-1x7Y/edit?usp=sharing"",""แผน!FI85"")"),1)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IFERROR(__xludf.DUMMYFUNCTION("IMPORTRANGE(""https://docs.google.com/spreadsheets/d/1eHaY18a8A9IcSdp1K8H6x8fbOy06t2VsZHhMHf-1x7Y/edit?usp=sharing"",""แผน!FQ85"")"),20)</f>
        <v>20</v>
      </c>
      <c r="J772" s="169">
        <v>20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IFERROR(__xludf.DUMMYFUNCTION("IMPORTRANGE(""https://docs.google.com/spreadsheets/d/1eHaY18a8A9IcSdp1K8H6x8fbOy06t2VsZHhMHf-1x7Y/edit?usp=sharing"",""แผน!FR85"")"),20)</f>
        <v>20</v>
      </c>
      <c r="J774" s="169">
        <v>20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IFERROR(__xludf.DUMMYFUNCTION("IMPORTRANGE(""https://docs.google.com/spreadsheets/d/1eHaY18a8A9IcSdp1K8H6x8fbOy06t2VsZHhMHf-1x7Y/edit?usp=sharing"",""แผน!FS85"")"),20)</f>
        <v>20</v>
      </c>
      <c r="J775" s="169">
        <v>20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IFERROR(__xludf.DUMMYFUNCTION("IMPORTRANGE(""https://docs.google.com/spreadsheets/d/1eHaY18a8A9IcSdp1K8H6x8fbOy06t2VsZHhMHf-1x7Y/edit?usp=sharing"",""แผน!FT85"")"),20)</f>
        <v>20</v>
      </c>
      <c r="J776" s="378">
        <v>20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IFERROR(__xludf.DUMMYFUNCTION("IMPORTRANGE(""https://docs.google.com/spreadsheets/d/10OvvATaaLtwErnr3qtWFcTmtbfpFEt5Bsqel9sXx0uE/edit?usp=sharing"",""งานกองทุน!D85"")"),1451596.33)</f>
        <v>1451596.33</v>
      </c>
      <c r="J778" s="372">
        <f ca="1">IFERROR(__xludf.DUMMYFUNCTION("IMPORTRANGE(""https://docs.google.com/spreadsheets/d/10OvvATaaLtwErnr3qtWFcTmtbfpFEt5Bsqel9sXx0uE/edit?usp=sharing"",""งานกองทุน!F85"")"),1310926.77)</f>
        <v>1310926.77</v>
      </c>
      <c r="K778" s="47">
        <f t="shared" ref="K778:K785" ca="1" si="467">IF(I778&gt;0,J778*100/I778,0)</f>
        <v>90.309319671537054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IFERROR(__xludf.DUMMYFUNCTION("IMPORTRANGE(""https://docs.google.com/spreadsheets/d/10OvvATaaLtwErnr3qtWFcTmtbfpFEt5Bsqel9sXx0uE/edit?usp=sharing"",""งานกองทุน!C85"")"),152)</f>
        <v>152</v>
      </c>
      <c r="J779" s="372">
        <f ca="1">IFERROR(__xludf.DUMMYFUNCTION("IMPORTRANGE(""https://docs.google.com/spreadsheets/d/10OvvATaaLtwErnr3qtWFcTmtbfpFEt5Bsqel9sXx0uE/edit?usp=sharing"",""งานกองทุน!E85"")"),138)</f>
        <v>138</v>
      </c>
      <c r="K779" s="47">
        <f t="shared" ca="1" si="467"/>
        <v>90.78947368421052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372">
        <f ca="1">IFERROR(__xludf.DUMMYFUNCTION("IMPORTRANGE(""https://docs.google.com/spreadsheets/d/10OvvATaaLtwErnr3qtWFcTmtbfpFEt5Bsqel9sXx0uE/edit?usp=sharing"",""งานกองทุน!K85"")"),224194.73)</f>
        <v>224194.73</v>
      </c>
      <c r="K780" s="47">
        <f t="shared" ca="1" si="467"/>
        <v>14.216786254294417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IFERROR(__xludf.DUMMYFUNCTION("IMPORTRANGE(""https://docs.google.com/spreadsheets/d/10OvvATaaLtwErnr3qtWFcTmtbfpFEt5Bsqel9sXx0uE/edit?usp=sharing"",""งานกองทุน!H85"")"),99)</f>
        <v>99</v>
      </c>
      <c r="J781" s="372">
        <f ca="1">IFERROR(__xludf.DUMMYFUNCTION("IMPORTRANGE(""https://docs.google.com/spreadsheets/d/10OvvATaaLtwErnr3qtWFcTmtbfpFEt5Bsqel9sXx0uE/edit?usp=sharing"",""งานกองทุน!J85"")"),27)</f>
        <v>27</v>
      </c>
      <c r="K781" s="47">
        <f t="shared" ca="1" si="467"/>
        <v>27.272727272727273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IFERROR(__xludf.DUMMYFUNCTION("IMPORTRANGE(""https://docs.google.com/spreadsheets/d/10OvvATaaLtwErnr3qtWFcTmtbfpFEt5Bsqel9sXx0uE/edit?usp=sharing"",""งานกองทุน!N85"")"),0)</f>
        <v>0</v>
      </c>
      <c r="J782" s="37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t="shared" ca="1" si="467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IFERROR(__xludf.DUMMYFUNCTION("IMPORTRANGE(""https://docs.google.com/spreadsheets/d/10OvvATaaLtwErnr3qtWFcTmtbfpFEt5Bsqel9sXx0uE/edit?usp=sharing"",""งานกองทุน!M85"")"),0)</f>
        <v>0</v>
      </c>
      <c r="J783" s="37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t="shared" ca="1" si="467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IFERROR(__xludf.DUMMYFUNCTION("IMPORTRANGE(""https://docs.google.com/spreadsheets/d/10OvvATaaLtwErnr3qtWFcTmtbfpFEt5Bsqel9sXx0uE/edit?usp=sharing"",""งานกองทุน!S85"")"),1288000)</f>
        <v>1288000</v>
      </c>
      <c r="J784" s="372">
        <f ca="1">IFERROR(__xludf.DUMMYFUNCTION("IMPORTRANGE(""https://docs.google.com/spreadsheets/d/10OvvATaaLtwErnr3qtWFcTmtbfpFEt5Bsqel9sXx0uE/edit?usp=sharing"",""งานกองทุน!U85"")"),1748000)</f>
        <v>1748000</v>
      </c>
      <c r="K784" s="47">
        <f t="shared" ca="1" si="467"/>
        <v>135.71428571428572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IFERROR(__xludf.DUMMYFUNCTION("IMPORTRANGE(""https://docs.google.com/spreadsheets/d/10OvvATaaLtwErnr3qtWFcTmtbfpFEt5Bsqel9sXx0uE/edit?usp=sharing"",""งานกองทุน!R85"")"),46)</f>
        <v>46</v>
      </c>
      <c r="J785" s="205">
        <f ca="1">IFERROR(__xludf.DUMMYFUNCTION("IMPORTRANGE(""https://docs.google.com/spreadsheets/d/10OvvATaaLtwErnr3qtWFcTmtbfpFEt5Bsqel9sXx0uE/edit?usp=sharing"",""งานกองทุน!T85"")"),52)</f>
        <v>52</v>
      </c>
      <c r="K785" s="111">
        <f t="shared" ca="1" si="467"/>
        <v>113.04347826086956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DCF9-E595-4932-A113-C8635DD267C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331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3158250</v>
      </c>
      <c r="M18" s="35">
        <f t="shared" ca="1" si="0"/>
        <v>3824766</v>
      </c>
      <c r="N18" s="35">
        <f t="shared" ca="1" si="0"/>
        <v>3554341.41</v>
      </c>
      <c r="O18" s="35">
        <f t="shared" ref="O18:O26" ca="1" si="1">IF(L18&gt;0,N18*100/L18,0)</f>
        <v>112.54148373308003</v>
      </c>
      <c r="P18" s="35">
        <f t="shared" ref="P18:P26" ca="1" si="2">IF(M18&gt;0,N18*100/M18,0)</f>
        <v>92.929643538977288</v>
      </c>
      <c r="Q18" s="35">
        <f t="shared" ref="Q18:S18" ca="1" si="3">Q19+Q20</f>
        <v>1915609.22</v>
      </c>
      <c r="R18" s="35">
        <f t="shared" ca="1" si="3"/>
        <v>1786842.1</v>
      </c>
      <c r="S18" s="35">
        <f t="shared" ca="1" si="3"/>
        <v>1667772.1</v>
      </c>
      <c r="T18" s="35">
        <f t="shared" ref="T18:T26" ca="1" si="4">IF(Q18&gt;0,S18*100/Q18,0)</f>
        <v>87.062229738067344</v>
      </c>
      <c r="U18" s="35">
        <f t="shared" ref="U18:U26" ca="1" si="5">IF(R18&gt;0,S18*100/R18,0)</f>
        <v>93.33628864016579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3158250</v>
      </c>
      <c r="M20" s="39">
        <f t="shared" ca="1" si="6"/>
        <v>3824766</v>
      </c>
      <c r="N20" s="39">
        <f t="shared" ca="1" si="6"/>
        <v>3554341.41</v>
      </c>
      <c r="O20" s="39">
        <f t="shared" ca="1" si="1"/>
        <v>112.54148373308003</v>
      </c>
      <c r="P20" s="39">
        <f t="shared" ca="1" si="2"/>
        <v>92.929643538977288</v>
      </c>
      <c r="Q20" s="39">
        <f t="shared" ca="1" si="7"/>
        <v>1915609.22</v>
      </c>
      <c r="R20" s="39">
        <f t="shared" ca="1" si="7"/>
        <v>1786842.1</v>
      </c>
      <c r="S20" s="39">
        <f t="shared" ca="1" si="7"/>
        <v>1667772.1</v>
      </c>
      <c r="T20" s="39">
        <f t="shared" ca="1" si="4"/>
        <v>87.062229738067344</v>
      </c>
      <c r="U20" s="39">
        <f t="shared" ca="1" si="5"/>
        <v>93.33628864016579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2980250</v>
      </c>
      <c r="M21" s="47">
        <f t="shared" ca="1" si="8"/>
        <v>3646766</v>
      </c>
      <c r="N21" s="47">
        <f t="shared" ca="1" si="8"/>
        <v>3376341.41</v>
      </c>
      <c r="O21" s="47">
        <f t="shared" ca="1" si="1"/>
        <v>113.29054307524537</v>
      </c>
      <c r="P21" s="47">
        <f t="shared" ca="1" si="2"/>
        <v>92.584536819746589</v>
      </c>
      <c r="Q21" s="47">
        <f t="shared" ref="Q21:S21" ca="1" si="9">Q22+Q23</f>
        <v>1915609.22</v>
      </c>
      <c r="R21" s="47">
        <f t="shared" ca="1" si="9"/>
        <v>1786842.1</v>
      </c>
      <c r="S21" s="47">
        <f t="shared" ca="1" si="9"/>
        <v>1667772.1</v>
      </c>
      <c r="T21" s="47">
        <f t="shared" ca="1" si="4"/>
        <v>87.062229738067344</v>
      </c>
      <c r="U21" s="47">
        <f t="shared" ca="1" si="5"/>
        <v>93.33628864016579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2980250</v>
      </c>
      <c r="M23" s="47">
        <f t="shared" ca="1" si="12"/>
        <v>3646766</v>
      </c>
      <c r="N23" s="47">
        <f t="shared" ca="1" si="12"/>
        <v>3376341.41</v>
      </c>
      <c r="O23" s="47">
        <f t="shared" ca="1" si="1"/>
        <v>113.29054307524537</v>
      </c>
      <c r="P23" s="47">
        <f t="shared" ca="1" si="2"/>
        <v>92.584536819746589</v>
      </c>
      <c r="Q23" s="47">
        <f t="shared" ca="1" si="11"/>
        <v>1915609.22</v>
      </c>
      <c r="R23" s="47">
        <f t="shared" ca="1" si="11"/>
        <v>1786842.1</v>
      </c>
      <c r="S23" s="47">
        <f t="shared" ca="1" si="11"/>
        <v>1667772.1</v>
      </c>
      <c r="T23" s="47">
        <f t="shared" ca="1" si="4"/>
        <v>87.062229738067344</v>
      </c>
      <c r="U23" s="47">
        <f t="shared" ca="1" si="5"/>
        <v>93.33628864016579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178000</v>
      </c>
      <c r="M24" s="47">
        <f t="shared" ca="1" si="13"/>
        <v>178000</v>
      </c>
      <c r="N24" s="47">
        <f t="shared" ca="1" si="13"/>
        <v>178000</v>
      </c>
      <c r="O24" s="47">
        <f t="shared" ca="1" si="1"/>
        <v>100</v>
      </c>
      <c r="P24" s="47">
        <f t="shared" ca="1" si="2"/>
        <v>100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178000</v>
      </c>
      <c r="M26" s="47">
        <f t="shared" ca="1" si="17"/>
        <v>178000</v>
      </c>
      <c r="N26" s="47">
        <f t="shared" ca="1" si="17"/>
        <v>178000</v>
      </c>
      <c r="O26" s="47">
        <f t="shared" ca="1" si="1"/>
        <v>100</v>
      </c>
      <c r="P26" s="47">
        <f t="shared" ca="1" si="2"/>
        <v>100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3080400</v>
      </c>
      <c r="M40" s="594">
        <f t="shared" ca="1" si="18"/>
        <v>3716916</v>
      </c>
      <c r="N40" s="594">
        <f t="shared" ca="1" si="18"/>
        <v>3474971.41</v>
      </c>
      <c r="O40" s="594">
        <f ca="1">IF(L40&gt;0,N40*100/L40,0)</f>
        <v>112.80909654590313</v>
      </c>
      <c r="P40" s="594">
        <f ca="1">IF(M40&gt;0,N40*100/M40,0)</f>
        <v>93.490716766265365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600100</v>
      </c>
      <c r="M44" s="79">
        <f t="shared" ca="1" si="19"/>
        <v>787726</v>
      </c>
      <c r="N44" s="79">
        <f t="shared" ca="1" si="19"/>
        <v>758526</v>
      </c>
      <c r="O44" s="79">
        <f t="shared" ref="O44:O52" ca="1" si="20">IF(L44&gt;0,N44*100/L44,0)</f>
        <v>126.39993334444259</v>
      </c>
      <c r="P44" s="79">
        <f t="shared" ref="P44:P52" ca="1" si="21">IF(M44&gt;0,N44*100/M44,0)</f>
        <v>96.293127305687506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600100</v>
      </c>
      <c r="M46" s="83">
        <f t="shared" ca="1" si="25"/>
        <v>787726</v>
      </c>
      <c r="N46" s="83">
        <f t="shared" ca="1" si="25"/>
        <v>758526</v>
      </c>
      <c r="O46" s="83">
        <f t="shared" ca="1" si="20"/>
        <v>126.39993334444259</v>
      </c>
      <c r="P46" s="83">
        <f t="shared" ca="1" si="21"/>
        <v>96.293127305687506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600100</v>
      </c>
      <c r="M47" s="47">
        <f t="shared" ca="1" si="27"/>
        <v>787726</v>
      </c>
      <c r="N47" s="47">
        <f t="shared" ca="1" si="27"/>
        <v>758526</v>
      </c>
      <c r="O47" s="47">
        <f t="shared" ca="1" si="20"/>
        <v>126.39993334444259</v>
      </c>
      <c r="P47" s="47">
        <f t="shared" ca="1" si="21"/>
        <v>96.293127305687506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IFERROR(__xludf.DUMMYFUNCTION("IMPORTRANGE(""https://docs.google.com/spreadsheets/d/1-uDff_7J0KD5mKrp0Vvzr7lt3OU09vwQwhkpOPPYv2Y/edit?usp=sharing"",""งบพรบ!V86"")"),787726)</f>
        <v>787726</v>
      </c>
      <c r="N49" s="47">
        <f ca="1">IFERROR(__xludf.DUMMYFUNCTION("IMPORTRANGE(""https://docs.google.com/spreadsheets/d/1-uDff_7J0KD5mKrp0Vvzr7lt3OU09vwQwhkpOPPYv2Y/edit?usp=sharing"",""งบพรบ!Y86"")"),758526)</f>
        <v>758526</v>
      </c>
      <c r="O49" s="47">
        <f t="shared" ca="1" si="20"/>
        <v>126.39993334444259</v>
      </c>
      <c r="P49" s="47">
        <f t="shared" ca="1" si="21"/>
        <v>96.293127305687506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863200</v>
      </c>
      <c r="M59" s="106">
        <f t="shared" ca="1" si="31"/>
        <v>1123530</v>
      </c>
      <c r="N59" s="106">
        <f t="shared" ca="1" si="31"/>
        <v>1107808.42</v>
      </c>
      <c r="O59" s="106">
        <f t="shared" ref="O59:O67" ca="1" si="32">IF(L59&gt;0,N59*100/L59,0)</f>
        <v>128.33739805375347</v>
      </c>
      <c r="P59" s="106">
        <f t="shared" ref="P59:P67" ca="1" si="33">IF(M59&gt;0,N59*100/M59,0)</f>
        <v>98.600697800681786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863200</v>
      </c>
      <c r="M61" s="109">
        <f t="shared" ca="1" si="37"/>
        <v>1123530</v>
      </c>
      <c r="N61" s="109">
        <f t="shared" ca="1" si="37"/>
        <v>1107808.42</v>
      </c>
      <c r="O61" s="109">
        <f t="shared" ca="1" si="32"/>
        <v>128.33739805375347</v>
      </c>
      <c r="P61" s="109">
        <f t="shared" ca="1" si="33"/>
        <v>98.600697800681786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685200</v>
      </c>
      <c r="M62" s="47">
        <f t="shared" ca="1" si="39"/>
        <v>945530</v>
      </c>
      <c r="N62" s="47">
        <f t="shared" ca="1" si="39"/>
        <v>929808.42</v>
      </c>
      <c r="O62" s="47">
        <f t="shared" ca="1" si="32"/>
        <v>135.6988353765324</v>
      </c>
      <c r="P62" s="47">
        <f t="shared" ca="1" si="33"/>
        <v>98.337273275305918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IFERROR(__xludf.DUMMYFUNCTION("IMPORTRANGE(""https://docs.google.com/spreadsheets/d/1-uDff_7J0KD5mKrp0Vvzr7lt3OU09vwQwhkpOPPYv2Y/edit?usp=sharing"",""งบพรบ!AH86"")"),945530)</f>
        <v>945530</v>
      </c>
      <c r="N64" s="47">
        <f ca="1">IFERROR(__xludf.DUMMYFUNCTION("IMPORTRANGE(""https://docs.google.com/spreadsheets/d/1-uDff_7J0KD5mKrp0Vvzr7lt3OU09vwQwhkpOPPYv2Y/edit?usp=sharing"",""งบพรบ!AJ86"")"),929808.42)</f>
        <v>929808.42</v>
      </c>
      <c r="O64" s="47">
        <f t="shared" ca="1" si="32"/>
        <v>135.6988353765324</v>
      </c>
      <c r="P64" s="47">
        <f t="shared" ca="1" si="33"/>
        <v>98.337273275305918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178000</v>
      </c>
      <c r="M65" s="47">
        <f t="shared" ca="1" si="41"/>
        <v>178000</v>
      </c>
      <c r="N65" s="47">
        <f t="shared" ca="1" si="41"/>
        <v>178000</v>
      </c>
      <c r="O65" s="47">
        <f t="shared" ca="1" si="32"/>
        <v>100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IFERROR(__xludf.DUMMYFUNCTION("IMPORTRANGE(""https://docs.google.com/spreadsheets/d/1-uDff_7J0KD5mKrp0Vvzr7lt3OU09vwQwhkpOPPYv2Y/edit?usp=sharing"",""งบพรบ!AK86"")"),178000)</f>
        <v>178000</v>
      </c>
      <c r="O67" s="111">
        <f t="shared" ca="1" si="32"/>
        <v>100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IFERROR(__xludf.DUMMYFUNCTION("IMPORTRANGE(""https://docs.google.com/spreadsheets/d/1eHaY18a8A9IcSdp1K8H6x8fbOy06t2VsZHhMHf-1x7Y/edit?usp=sharing"",""แผน!H86"")"),0)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IFERROR(__xludf.DUMMYFUNCTION("IMPORTRANGE(""https://docs.google.com/spreadsheets/d/1eHaY18a8A9IcSdp1K8H6x8fbOy06t2VsZHhMHf-1x7Y/edit?usp=sharing"",""แผน!I86"")"),0)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IFERROR(__xludf.DUMMYFUNCTION("IMPORTRANGE(""https://docs.google.com/spreadsheets/d/1eHaY18a8A9IcSdp1K8H6x8fbOy06t2VsZHhMHf-1x7Y/edit?usp=sharing"",""แผน!F86"")"),0)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IFERROR(__xludf.DUMMYFUNCTION("IMPORTRANGE(""https://docs.google.com/spreadsheets/d/1eHaY18a8A9IcSdp1K8H6x8fbOy06t2VsZHhMHf-1x7Y/edit?usp=sharing"",""แผน!G86"")"),0)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IFERROR(__xludf.DUMMYFUNCTION("IMPORTRANGE(""https://docs.google.com/spreadsheets/d/1eHaY18a8A9IcSdp1K8H6x8fbOy06t2VsZHhMHf-1x7Y/edit?usp=sharing"",""แผน!D86"")"),0)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IFERROR(__xludf.DUMMYFUNCTION("IMPORTRANGE(""https://docs.google.com/spreadsheets/d/1eHaY18a8A9IcSdp1K8H6x8fbOy06t2VsZHhMHf-1x7Y/edit?usp=sharing"",""แผน!E86"")"),0)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IFERROR(__xludf.DUMMYFUNCTION("IMPORTRANGE(""https://docs.google.com/spreadsheets/d/1eHaY18a8A9IcSdp1K8H6x8fbOy06t2VsZHhMHf-1x7Y/edit?usp=sharing"",""แผน!J86"")"),0)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87</v>
      </c>
      <c r="J92" s="128">
        <f t="shared" si="59"/>
        <v>87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29</v>
      </c>
      <c r="J93" s="128">
        <f t="shared" si="59"/>
        <v>29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17400</v>
      </c>
      <c r="M94" s="133">
        <f t="shared" ca="1" si="61"/>
        <v>17400</v>
      </c>
      <c r="N94" s="133">
        <f t="shared" ca="1" si="61"/>
        <v>17400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244818</v>
      </c>
      <c r="R94" s="133">
        <f t="shared" ca="1" si="64"/>
        <v>144150</v>
      </c>
      <c r="S94" s="133">
        <f t="shared" ca="1" si="64"/>
        <v>144150</v>
      </c>
      <c r="T94" s="133">
        <f t="shared" ref="T94:T102" ca="1" si="65">IF(Q94&gt;0,S94*100/Q94,0)</f>
        <v>58.880474474916063</v>
      </c>
      <c r="U94" s="133">
        <f t="shared" ref="U94:U102" ca="1" si="66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17400</v>
      </c>
      <c r="M96" s="47">
        <f t="shared" ca="1" si="67"/>
        <v>17400</v>
      </c>
      <c r="N96" s="47">
        <f t="shared" ca="1" si="67"/>
        <v>17400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244818</v>
      </c>
      <c r="R96" s="47">
        <f t="shared" ca="1" si="68"/>
        <v>144150</v>
      </c>
      <c r="S96" s="47">
        <f t="shared" ca="1" si="68"/>
        <v>144150</v>
      </c>
      <c r="T96" s="47">
        <f t="shared" ca="1" si="65"/>
        <v>58.880474474916063</v>
      </c>
      <c r="U96" s="47">
        <f t="shared" ca="1" si="66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17400</v>
      </c>
      <c r="M97" s="47">
        <f t="shared" ca="1" si="69"/>
        <v>17400</v>
      </c>
      <c r="N97" s="47">
        <f t="shared" ca="1" si="69"/>
        <v>17400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244818</v>
      </c>
      <c r="R97" s="47">
        <f t="shared" ca="1" si="70"/>
        <v>144150</v>
      </c>
      <c r="S97" s="47">
        <f t="shared" ca="1" si="70"/>
        <v>144150</v>
      </c>
      <c r="T97" s="47">
        <f t="shared" ca="1" si="65"/>
        <v>58.880474474916063</v>
      </c>
      <c r="U97" s="47">
        <f t="shared" ca="1" si="66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IFERROR(__xludf.DUMMYFUNCTION("IMPORTRANGE(""https://docs.google.com/spreadsheets/d/1-uDff_7J0KD5mKrp0Vvzr7lt3OU09vwQwhkpOPPYv2Y/edit?usp=sharing"",""งบพรบ!AW86"")"),17400)</f>
        <v>17400</v>
      </c>
      <c r="M99" s="47">
        <f ca="1">IFERROR(__xludf.DUMMYFUNCTION("IMPORTRANGE(""https://docs.google.com/spreadsheets/d/1-uDff_7J0KD5mKrp0Vvzr7lt3OU09vwQwhkpOPPYv2Y/edit?usp=sharing"",""งบพรบ!BB86"")"),17400)</f>
        <v>17400</v>
      </c>
      <c r="N99" s="47">
        <f ca="1">IFERROR(__xludf.DUMMYFUNCTION("IMPORTRANGE(""https://docs.google.com/spreadsheets/d/1-uDff_7J0KD5mKrp0Vvzr7lt3OU09vwQwhkpOPPYv2Y/edit?usp=sharing"",""งบพรบ!BD86"")"),17400)</f>
        <v>17400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IFERROR(__xludf.DUMMYFUNCTION("IMPORTRANGE(""https://docs.google.com/spreadsheets/d/1ItG2mGa2ceCfYo0BwxsXqNm01IGEUdYcSSLTEv9YCik/edit?usp=sharing"",""เบิกจ่ายกองทุน!AK86"")"),144150)</f>
        <v>144150</v>
      </c>
      <c r="S99" s="47">
        <f ca="1">IFERROR(__xludf.DUMMYFUNCTION("IMPORTRANGE(""https://docs.google.com/spreadsheets/d/1ItG2mGa2ceCfYo0BwxsXqNm01IGEUdYcSSLTEv9YCik/edit?usp=sharing"",""เบิกจ่ายกองทุน!AL86"")"),144150)</f>
        <v>144150</v>
      </c>
      <c r="T99" s="47">
        <f t="shared" ca="1" si="65"/>
        <v>58.880474474916063</v>
      </c>
      <c r="U99" s="47">
        <f t="shared" ca="1" si="66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IFERROR(__xludf.DUMMYFUNCTION("IMPORTRANGE(""https://docs.google.com/spreadsheets/d/1eHaY18a8A9IcSdp1K8H6x8fbOy06t2VsZHhMHf-1x7Y/edit?usp=sharing"",""แผน!N86"")"),87)</f>
        <v>87</v>
      </c>
      <c r="J108" s="169">
        <v>87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IFERROR(__xludf.DUMMYFUNCTION("IMPORTRANGE(""https://docs.google.com/spreadsheets/d/1eHaY18a8A9IcSdp1K8H6x8fbOy06t2VsZHhMHf-1x7Y/edit?usp=sharing"",""แผน!O86"")"),29)</f>
        <v>29</v>
      </c>
      <c r="J109" s="169">
        <v>29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IFERROR(__xludf.DUMMYFUNCTION("IMPORTRANGE(""https://docs.google.com/spreadsheets/d/1eHaY18a8A9IcSdp1K8H6x8fbOy06t2VsZHhMHf-1x7Y/edit?usp=sharing"",""แผน!N86"")"),87)</f>
        <v>87</v>
      </c>
      <c r="J113" s="178">
        <v>87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IFERROR(__xludf.DUMMYFUNCTION("IMPORTRANGE(""https://docs.google.com/spreadsheets/d/1eHaY18a8A9IcSdp1K8H6x8fbOy06t2VsZHhMHf-1x7Y/edit?usp=sharing"",""แผน!O86"")"),29)</f>
        <v>29</v>
      </c>
      <c r="J114" s="169">
        <v>29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20</v>
      </c>
      <c r="J116" s="128">
        <f t="shared" si="75"/>
        <v>20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209360</v>
      </c>
      <c r="R117" s="133">
        <f t="shared" ca="1" si="79"/>
        <v>203281.1</v>
      </c>
      <c r="S117" s="133">
        <f t="shared" ca="1" si="79"/>
        <v>188281.1</v>
      </c>
      <c r="T117" s="133">
        <f t="shared" ref="T117:T125" ca="1" si="80">IF(Q117&gt;0,S117*100/Q117,0)</f>
        <v>89.931744363775309</v>
      </c>
      <c r="U117" s="133">
        <f t="shared" ref="U117:U125" ca="1" si="81">IF(R117&gt;0,S117*100/R117,0)</f>
        <v>92.621055277642625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209360</v>
      </c>
      <c r="R119" s="47">
        <f t="shared" ca="1" si="83"/>
        <v>203281.1</v>
      </c>
      <c r="S119" s="47">
        <f t="shared" ca="1" si="83"/>
        <v>188281.1</v>
      </c>
      <c r="T119" s="47">
        <f t="shared" ca="1" si="80"/>
        <v>89.931744363775309</v>
      </c>
      <c r="U119" s="47">
        <f t="shared" ca="1" si="81"/>
        <v>92.621055277642625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209360</v>
      </c>
      <c r="R120" s="47">
        <f t="shared" ca="1" si="85"/>
        <v>203281.1</v>
      </c>
      <c r="S120" s="47">
        <f t="shared" ca="1" si="85"/>
        <v>188281.1</v>
      </c>
      <c r="T120" s="47">
        <f t="shared" ca="1" si="80"/>
        <v>89.931744363775309</v>
      </c>
      <c r="U120" s="47">
        <f t="shared" ca="1" si="81"/>
        <v>92.621055277642625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IFERROR(__xludf.DUMMYFUNCTION("IMPORTRANGE(""https://docs.google.com/spreadsheets/d/1ItG2mGa2ceCfYo0BwxsXqNm01IGEUdYcSSLTEv9YCik/edit?usp=sharing"",""เบิกจ่ายกองทุน!V86"")"),203281.1)</f>
        <v>203281.1</v>
      </c>
      <c r="S122" s="47">
        <f ca="1">IFERROR(__xludf.DUMMYFUNCTION("IMPORTRANGE(""https://docs.google.com/spreadsheets/d/1ItG2mGa2ceCfYo0BwxsXqNm01IGEUdYcSSLTEv9YCik/edit?usp=sharing"",""เบิกจ่ายกองทุน!W86"")"),188281.1)</f>
        <v>188281.1</v>
      </c>
      <c r="T122" s="47">
        <f t="shared" ca="1" si="80"/>
        <v>89.931744363775309</v>
      </c>
      <c r="U122" s="47">
        <f t="shared" ca="1" si="81"/>
        <v>92.621055277642625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0</v>
      </c>
      <c r="R123" s="47">
        <f t="shared" ca="1" si="87"/>
        <v>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IFERROR(__xludf.DUMMYFUNCTION("IMPORTRANGE(""https://docs.google.com/spreadsheets/d/1eHaY18a8A9IcSdp1K8H6x8fbOy06t2VsZHhMHf-1x7Y/edit?usp=sharing"",""แผน!FF86"")"),20)</f>
        <v>20</v>
      </c>
      <c r="J127" s="169">
        <v>20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IFERROR(__xludf.DUMMYFUNCTION("IMPORTRANGE(""https://docs.google.com/spreadsheets/d/1eHaY18a8A9IcSdp1K8H6x8fbOy06t2VsZHhMHf-1x7Y/edit?usp=sharing"",""แผน!FG86"")"),1)</f>
        <v>1</v>
      </c>
      <c r="J128" s="169">
        <v>1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IFERROR(__xludf.DUMMYFUNCTION("IMPORTRANGE(""https://docs.google.com/spreadsheets/d/1eHaY18a8A9IcSdp1K8H6x8fbOy06t2VsZHhMHf-1x7Y/edit?usp=sharing"",""แผน!FH86"")"),20)</f>
        <v>20</v>
      </c>
      <c r="J129" s="169">
        <v>20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IFERROR(__xludf.DUMMYFUNCTION("IMPORTRANGE(""https://docs.google.com/spreadsheets/d/1eHaY18a8A9IcSdp1K8H6x8fbOy06t2VsZHhMHf-1x7Y/edit?usp=sharing"",""แผน!FI86"")"),1)</f>
        <v>1</v>
      </c>
      <c r="J130" s="169">
        <v>1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0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10</v>
      </c>
      <c r="J137" s="128">
        <f t="shared" si="91"/>
        <v>10</v>
      </c>
      <c r="K137" s="35">
        <f t="shared" ca="1" si="90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1</v>
      </c>
      <c r="J138" s="128">
        <f t="shared" si="91"/>
        <v>1</v>
      </c>
      <c r="K138" s="35">
        <f t="shared" ca="1" si="90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23300</v>
      </c>
      <c r="M139" s="133">
        <f t="shared" ca="1" si="92"/>
        <v>18300</v>
      </c>
      <c r="N139" s="133">
        <f t="shared" ca="1" si="92"/>
        <v>13760</v>
      </c>
      <c r="O139" s="133">
        <f t="shared" ref="O139:O147" ca="1" si="93">IF(L139&gt;0,N139*100/L139,0)</f>
        <v>59.055793991416309</v>
      </c>
      <c r="P139" s="133">
        <f t="shared" ref="P139:P147" ca="1" si="94">IF(M139&gt;0,N139*100/M139,0)</f>
        <v>75.191256830601091</v>
      </c>
      <c r="Q139" s="133">
        <f t="shared" ref="Q139:S139" ca="1" si="95">Q140+Q141</f>
        <v>39860</v>
      </c>
      <c r="R139" s="133">
        <f t="shared" ca="1" si="95"/>
        <v>24800</v>
      </c>
      <c r="S139" s="133">
        <f t="shared" ca="1" si="95"/>
        <v>16300</v>
      </c>
      <c r="T139" s="133">
        <f t="shared" ref="T139:T147" ca="1" si="96">IF(Q139&gt;0,S139*100/Q139,0)</f>
        <v>40.893125940792771</v>
      </c>
      <c r="U139" s="133">
        <f t="shared" ref="U139:U147" ca="1" si="97">IF(R139&gt;0,S139*100/R139,0)</f>
        <v>65.725806451612897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23300</v>
      </c>
      <c r="M141" s="47">
        <f t="shared" ca="1" si="98"/>
        <v>18300</v>
      </c>
      <c r="N141" s="47">
        <f t="shared" ca="1" si="98"/>
        <v>13760</v>
      </c>
      <c r="O141" s="47">
        <f t="shared" ca="1" si="93"/>
        <v>59.055793991416309</v>
      </c>
      <c r="P141" s="47">
        <f t="shared" ca="1" si="94"/>
        <v>75.191256830601091</v>
      </c>
      <c r="Q141" s="47">
        <f t="shared" ca="1" si="99"/>
        <v>39860</v>
      </c>
      <c r="R141" s="47">
        <f t="shared" ca="1" si="99"/>
        <v>24800</v>
      </c>
      <c r="S141" s="47">
        <f t="shared" ca="1" si="99"/>
        <v>16300</v>
      </c>
      <c r="T141" s="47">
        <f t="shared" ca="1" si="96"/>
        <v>40.893125940792771</v>
      </c>
      <c r="U141" s="47">
        <f t="shared" ca="1" si="97"/>
        <v>65.725806451612897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23300</v>
      </c>
      <c r="M142" s="47">
        <f t="shared" ca="1" si="100"/>
        <v>18300</v>
      </c>
      <c r="N142" s="47">
        <f t="shared" ca="1" si="100"/>
        <v>13760</v>
      </c>
      <c r="O142" s="47">
        <f t="shared" ca="1" si="93"/>
        <v>59.055793991416309</v>
      </c>
      <c r="P142" s="47">
        <f t="shared" ca="1" si="94"/>
        <v>75.191256830601091</v>
      </c>
      <c r="Q142" s="47">
        <f t="shared" ref="Q142:S142" ca="1" si="101">Q143+Q144</f>
        <v>39860</v>
      </c>
      <c r="R142" s="47">
        <f t="shared" ca="1" si="101"/>
        <v>24800</v>
      </c>
      <c r="S142" s="47">
        <f t="shared" ca="1" si="101"/>
        <v>16300</v>
      </c>
      <c r="T142" s="47">
        <f t="shared" ca="1" si="96"/>
        <v>40.893125940792771</v>
      </c>
      <c r="U142" s="47">
        <f t="shared" ca="1" si="97"/>
        <v>65.725806451612897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IFERROR(__xludf.DUMMYFUNCTION("IMPORTRANGE(""https://docs.google.com/spreadsheets/d/1-uDff_7J0KD5mKrp0Vvzr7lt3OU09vwQwhkpOPPYv2Y/edit?usp=sharing"",""งบพรบ!BX86"")"),13760)</f>
        <v>13760</v>
      </c>
      <c r="O144" s="47">
        <f t="shared" ca="1" si="93"/>
        <v>59.055793991416309</v>
      </c>
      <c r="P144" s="47">
        <f t="shared" ca="1" si="94"/>
        <v>75.191256830601091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IFERROR(__xludf.DUMMYFUNCTION("IMPORTRANGE(""https://docs.google.com/spreadsheets/d/1ItG2mGa2ceCfYo0BwxsXqNm01IGEUdYcSSLTEv9YCik/edit?usp=sharing"",""เบิกจ่ายกองทุน!CG86"")"),24800)</f>
        <v>24800</v>
      </c>
      <c r="S144" s="47">
        <f ca="1">IFERROR(__xludf.DUMMYFUNCTION("IMPORTRANGE(""https://docs.google.com/spreadsheets/d/1ItG2mGa2ceCfYo0BwxsXqNm01IGEUdYcSSLTEv9YCik/edit?usp=sharing"",""เบิกจ่ายกองทุน!CH86"")"),16300)</f>
        <v>16300</v>
      </c>
      <c r="T144" s="47">
        <f t="shared" ca="1" si="96"/>
        <v>40.893125940792771</v>
      </c>
      <c r="U144" s="47">
        <f t="shared" ca="1" si="97"/>
        <v>65.725806451612897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0</v>
      </c>
      <c r="R145" s="47">
        <f t="shared" ca="1" si="103"/>
        <v>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t="shared" ca="1" si="96"/>
        <v>0</v>
      </c>
      <c r="U147" s="47">
        <f t="shared" ca="1" si="97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IFERROR(__xludf.DUMMYFUNCTION("IMPORTRANGE(""https://docs.google.com/spreadsheets/d/1eHaY18a8A9IcSdp1K8H6x8fbOy06t2VsZHhMHf-1x7Y/edit?usp=sharing"",""แผน!U86"")"),0)</f>
        <v>0</v>
      </c>
      <c r="J150" s="169">
        <v>0</v>
      </c>
      <c r="K150" s="47">
        <f t="shared" ref="K150:K154" ca="1" si="104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IFERROR(__xludf.DUMMYFUNCTION("IMPORTRANGE(""https://docs.google.com/spreadsheets/d/1eHaY18a8A9IcSdp1K8H6x8fbOy06t2VsZHhMHf-1x7Y/edit?usp=sharing"",""แผน!V86"")"),0)</f>
        <v>0</v>
      </c>
      <c r="J151" s="169">
        <v>0</v>
      </c>
      <c r="K151" s="47">
        <f t="shared" ca="1" si="104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IFERROR(__xludf.DUMMYFUNCTION("IMPORTRANGE(""https://docs.google.com/spreadsheets/d/1eHaY18a8A9IcSdp1K8H6x8fbOy06t2VsZHhMHf-1x7Y/edit?usp=sharing"",""แผน!W86"")"),10)</f>
        <v>10</v>
      </c>
      <c r="J152" s="169">
        <v>10</v>
      </c>
      <c r="K152" s="47">
        <f t="shared" ca="1" si="104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IFERROR(__xludf.DUMMYFUNCTION("IMPORTRANGE(""https://docs.google.com/spreadsheets/d/1eHaY18a8A9IcSdp1K8H6x8fbOy06t2VsZHhMHf-1x7Y/edit?usp=sharing"",""แผน!X86"")"),1)</f>
        <v>1</v>
      </c>
      <c r="J153" s="169">
        <v>1</v>
      </c>
      <c r="K153" s="47">
        <f t="shared" ca="1" si="104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IFERROR(__xludf.DUMMYFUNCTION("IMPORTRANGE(""https://docs.google.com/spreadsheets/d/1eHaY18a8A9IcSdp1K8H6x8fbOy06t2VsZHhMHf-1x7Y/edit?usp=sharing"",""แผน!Y86"")"),0)</f>
        <v>0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I169</f>
        <v>0</v>
      </c>
      <c r="J156" s="128">
        <f t="shared" si="105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40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0</v>
      </c>
      <c r="M157" s="133">
        <f t="shared" ca="1" si="106"/>
        <v>0</v>
      </c>
      <c r="N157" s="133">
        <f t="shared" ca="1" si="106"/>
        <v>0</v>
      </c>
      <c r="O157" s="133">
        <f t="shared" ref="O157:O165" ca="1" si="107">IF(L157&gt;0,N157*100/L157,0)</f>
        <v>0</v>
      </c>
      <c r="P157" s="133">
        <f t="shared" ref="P157:P165" ca="1" si="108">IF(M157&gt;0,N157*100/M157,0)</f>
        <v>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0</v>
      </c>
      <c r="M159" s="47">
        <f t="shared" ca="1" si="112"/>
        <v>0</v>
      </c>
      <c r="N159" s="47">
        <f t="shared" ca="1" si="112"/>
        <v>0</v>
      </c>
      <c r="O159" s="47">
        <f t="shared" ca="1" si="107"/>
        <v>0</v>
      </c>
      <c r="P159" s="47">
        <f t="shared" ca="1" si="108"/>
        <v>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0</v>
      </c>
      <c r="M160" s="47">
        <f t="shared" ca="1" si="114"/>
        <v>0</v>
      </c>
      <c r="N160" s="47">
        <f t="shared" ca="1" si="114"/>
        <v>0</v>
      </c>
      <c r="O160" s="47">
        <f t="shared" ca="1" si="107"/>
        <v>0</v>
      </c>
      <c r="P160" s="47">
        <f t="shared" ca="1" si="108"/>
        <v>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IFERROR(__xludf.DUMMYFUNCTION("IMPORTRANGE(""https://docs.google.com/spreadsheets/d/1-uDff_7J0KD5mKrp0Vvzr7lt3OU09vwQwhkpOPPYv2Y/edit?usp=sharing"",""งบพรบ!CF86"")"),0)</f>
        <v>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t="shared" ca="1" si="107"/>
        <v>0</v>
      </c>
      <c r="P162" s="47">
        <f t="shared" ca="1" si="108"/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IFERROR(__xludf.DUMMYFUNCTION("IMPORTRANGE(""https://docs.google.com/spreadsheets/d/1eHaY18a8A9IcSdp1K8H6x8fbOy06t2VsZHhMHf-1x7Y/edit?usp=sharing"",""แผน!Z86"")"),0)</f>
        <v>0</v>
      </c>
      <c r="J167" s="169">
        <v>0</v>
      </c>
      <c r="K167" s="47">
        <f t="shared" ref="K167:K169" ca="1" si="118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IFERROR(__xludf.DUMMYFUNCTION("IMPORTRANGE(""https://docs.google.com/spreadsheets/d/1eHaY18a8A9IcSdp1K8H6x8fbOy06t2VsZHhMHf-1x7Y/edit?usp=sharing"",""แผน!Z86"")"),0)</f>
        <v>0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IFERROR(__xludf.DUMMYFUNCTION("IMPORTRANGE(""https://docs.google.com/spreadsheets/d/1eHaY18a8A9IcSdp1K8H6x8fbOy06t2VsZHhMHf-1x7Y/edit?usp=sharing"",""แผน!Z86"")"),0)</f>
        <v>0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7</v>
      </c>
      <c r="J172" s="222">
        <f t="shared" si="119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19590</v>
      </c>
      <c r="M173" s="133">
        <f t="shared" ca="1" si="120"/>
        <v>40150</v>
      </c>
      <c r="N173" s="133">
        <f t="shared" ca="1" si="120"/>
        <v>40150</v>
      </c>
      <c r="O173" s="133">
        <f t="shared" ref="O173:O181" ca="1" si="121">IF(L173&gt;0,N173*100/L173,0)</f>
        <v>204.951505870342</v>
      </c>
      <c r="P173" s="133">
        <f t="shared" ref="P173:P181" ca="1" si="122">IF(M173&gt;0,N173*100/M173,0)</f>
        <v>100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19590</v>
      </c>
      <c r="M175" s="47">
        <f t="shared" ca="1" si="126"/>
        <v>40150</v>
      </c>
      <c r="N175" s="47">
        <f t="shared" ca="1" si="126"/>
        <v>40150</v>
      </c>
      <c r="O175" s="47">
        <f t="shared" ca="1" si="121"/>
        <v>204.951505870342</v>
      </c>
      <c r="P175" s="47">
        <f t="shared" ca="1" si="122"/>
        <v>100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19590</v>
      </c>
      <c r="M176" s="47">
        <f t="shared" ca="1" si="128"/>
        <v>40150</v>
      </c>
      <c r="N176" s="47">
        <f t="shared" ca="1" si="128"/>
        <v>40150</v>
      </c>
      <c r="O176" s="47">
        <f t="shared" ca="1" si="121"/>
        <v>204.951505870342</v>
      </c>
      <c r="P176" s="47">
        <f t="shared" ca="1" si="122"/>
        <v>100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IFERROR(__xludf.DUMMYFUNCTION("IMPORTRANGE(""https://docs.google.com/spreadsheets/d/1-uDff_7J0KD5mKrp0Vvzr7lt3OU09vwQwhkpOPPYv2Y/edit?usp=sharing"",""งบพรบ!CR86"")"),40150)</f>
        <v>40150</v>
      </c>
      <c r="O178" s="47">
        <f t="shared" ca="1" si="121"/>
        <v>204.951505870342</v>
      </c>
      <c r="P178" s="47">
        <f t="shared" ca="1" si="122"/>
        <v>100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IFERROR(__xludf.DUMMYFUNCTION("IMPORTRANGE(""https://docs.google.com/spreadsheets/d/1eHaY18a8A9IcSdp1K8H6x8fbOy06t2VsZHhMHf-1x7Y/edit?usp=sharing"",""แผน!AA86"")"),7)</f>
        <v>7</v>
      </c>
      <c r="J183" s="169">
        <v>7</v>
      </c>
      <c r="K183" s="47">
        <f t="shared" ref="K183:K185" ca="1" si="132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0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327800</v>
      </c>
      <c r="M186" s="133">
        <f t="shared" ca="1" si="134"/>
        <v>339500</v>
      </c>
      <c r="N186" s="133">
        <f t="shared" ca="1" si="134"/>
        <v>325115.45</v>
      </c>
      <c r="O186" s="133">
        <f t="shared" ref="O186:O194" ca="1" si="135">IF(L186&gt;0,N186*100/L186,0)</f>
        <v>99.181040268456371</v>
      </c>
      <c r="P186" s="133">
        <f t="shared" ref="P186:P194" ca="1" si="136">IF(M186&gt;0,N186*100/M186,0)</f>
        <v>95.763019145802645</v>
      </c>
      <c r="Q186" s="133">
        <f t="shared" ref="Q186:S186" ca="1" si="137">Q187+Q188</f>
        <v>417900</v>
      </c>
      <c r="R186" s="133">
        <f t="shared" ca="1" si="137"/>
        <v>417900</v>
      </c>
      <c r="S186" s="133">
        <f t="shared" ca="1" si="137"/>
        <v>417900</v>
      </c>
      <c r="T186" s="133">
        <f t="shared" ref="T186:T194" ca="1" si="138">IF(Q186&gt;0,S186*100/Q186,0)</f>
        <v>100</v>
      </c>
      <c r="U186" s="133">
        <f t="shared" ref="U186:U194" ca="1" si="139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327800</v>
      </c>
      <c r="M188" s="47">
        <f t="shared" ca="1" si="140"/>
        <v>339500</v>
      </c>
      <c r="N188" s="47">
        <f t="shared" ca="1" si="140"/>
        <v>325115.45</v>
      </c>
      <c r="O188" s="47">
        <f t="shared" ca="1" si="135"/>
        <v>99.181040268456371</v>
      </c>
      <c r="P188" s="47">
        <f t="shared" ca="1" si="136"/>
        <v>95.763019145802645</v>
      </c>
      <c r="Q188" s="47">
        <f t="shared" ca="1" si="141"/>
        <v>417900</v>
      </c>
      <c r="R188" s="47">
        <f t="shared" ca="1" si="141"/>
        <v>417900</v>
      </c>
      <c r="S188" s="47">
        <f t="shared" ca="1" si="141"/>
        <v>417900</v>
      </c>
      <c r="T188" s="47">
        <f t="shared" ca="1" si="138"/>
        <v>100</v>
      </c>
      <c r="U188" s="47">
        <f t="shared" ca="1" si="139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327800</v>
      </c>
      <c r="M189" s="47">
        <f t="shared" ca="1" si="142"/>
        <v>339500</v>
      </c>
      <c r="N189" s="47">
        <f t="shared" ca="1" si="142"/>
        <v>325115.45</v>
      </c>
      <c r="O189" s="47">
        <f t="shared" ca="1" si="135"/>
        <v>99.181040268456371</v>
      </c>
      <c r="P189" s="47">
        <f t="shared" ca="1" si="136"/>
        <v>95.763019145802645</v>
      </c>
      <c r="Q189" s="47">
        <f t="shared" ref="Q189:S189" ca="1" si="143">Q190+Q191</f>
        <v>417900</v>
      </c>
      <c r="R189" s="47">
        <f t="shared" ca="1" si="143"/>
        <v>417900</v>
      </c>
      <c r="S189" s="47">
        <f t="shared" ca="1" si="143"/>
        <v>417900</v>
      </c>
      <c r="T189" s="47">
        <f t="shared" ca="1" si="138"/>
        <v>100</v>
      </c>
      <c r="U189" s="47">
        <f t="shared" ca="1" si="139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IFERROR(__xludf.DUMMYFUNCTION("IMPORTRANGE(""https://docs.google.com/spreadsheets/d/1-uDff_7J0KD5mKrp0Vvzr7lt3OU09vwQwhkpOPPYv2Y/edit?usp=sharing"",""งบพรบ!CZ86"")"),339500)</f>
        <v>339500</v>
      </c>
      <c r="N191" s="47">
        <f ca="1">IFERROR(__xludf.DUMMYFUNCTION("IMPORTRANGE(""https://docs.google.com/spreadsheets/d/1-uDff_7J0KD5mKrp0Vvzr7lt3OU09vwQwhkpOPPYv2Y/edit?usp=sharing"",""งบพรบ!DB86"")"),325115.45)</f>
        <v>325115.45</v>
      </c>
      <c r="O191" s="47">
        <f t="shared" ca="1" si="135"/>
        <v>99.181040268456371</v>
      </c>
      <c r="P191" s="47">
        <f t="shared" ca="1" si="136"/>
        <v>95.763019145802645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IFERROR(__xludf.DUMMYFUNCTION("IMPORTRANGE(""https://docs.google.com/spreadsheets/d/1ItG2mGa2ceCfYo0BwxsXqNm01IGEUdYcSSLTEv9YCik/edit?usp=sharing"",""เบิกจ่ายกองทุน!BS86"")"),417900)</f>
        <v>417900</v>
      </c>
      <c r="T191" s="47">
        <f t="shared" ca="1" si="138"/>
        <v>100</v>
      </c>
      <c r="U191" s="47">
        <f t="shared" ca="1" si="139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IFERROR(__xludf.DUMMYFUNCTION("IMPORTRANGE(""https://docs.google.com/spreadsheets/d/1eHaY18a8A9IcSdp1K8H6x8fbOy06t2VsZHhMHf-1x7Y/edit?usp=sharing"",""แผน!AE86"")"),4)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183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183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5</v>
      </c>
      <c r="J202" s="236">
        <f t="shared" si="147"/>
        <v>5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25000</v>
      </c>
      <c r="M203" s="46"/>
      <c r="N203" s="133">
        <f>N204+N205+N206+N207</f>
        <v>25000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70000</v>
      </c>
      <c r="R203" s="180"/>
      <c r="S203" s="638">
        <f>S204+S205+S206+S207</f>
        <v>70000</v>
      </c>
      <c r="T203" s="638">
        <f ca="1">IF(Q203&gt;0,S203*100/Q203,0)</f>
        <v>100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86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639">
        <v>5000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IFERROR(__xludf.DUMMYFUNCTION("IMPORTRANGE(""https://docs.google.com/spreadsheets/d/1eHaY18a8A9IcSdp1K8H6x8fbOy06t2VsZHhMHf-1x7Y/edit?usp=sharing"",""แผน!AH86"")"),0)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IFERROR(__xludf.DUMMYFUNCTION("IMPORTRANGE(""https://docs.google.com/spreadsheets/d/1eHaY18a8A9IcSdp1K8H6x8fbOy06t2VsZHhMHf-1x7Y/edit?usp=sharing"",""แผน!AI86"")"),0)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639">
        <v>70000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639">
        <v>20000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IFERROR(__xludf.DUMMYFUNCTION("IMPORTRANGE(""https://docs.google.com/spreadsheets/d/1eHaY18a8A9IcSdp1K8H6x8fbOy06t2VsZHhMHf-1x7Y/edit?usp=sharing"",""แผน!AK86"")"),5)</f>
        <v>5</v>
      </c>
      <c r="J209" s="169">
        <v>5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IFERROR(__xludf.DUMMYFUNCTION("IMPORTRANGE(""https://docs.google.com/spreadsheets/d/1eHaY18a8A9IcSdp1K8H6x8fbOy06t2VsZHhMHf-1x7Y/edit?usp=sharing"",""แผน!JX86"")"),5)</f>
        <v>5</v>
      </c>
      <c r="J211" s="169">
        <v>5</v>
      </c>
      <c r="K211" s="154">
        <f t="shared" ref="K211:K213" ca="1" si="148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IFERROR(__xludf.DUMMYFUNCTION("IMPORTRANGE(""https://docs.google.com/spreadsheets/d/1eHaY18a8A9IcSdp1K8H6x8fbOy06t2VsZHhMHf-1x7Y/edit?usp=sharing"",""แผน!JY86"")"),0)</f>
        <v>0</v>
      </c>
      <c r="J212" s="169">
        <v>0</v>
      </c>
      <c r="K212" s="154">
        <f t="shared" ca="1" si="148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7</v>
      </c>
      <c r="J213" s="236">
        <f t="shared" si="149"/>
        <v>7</v>
      </c>
      <c r="K213" s="237">
        <f t="shared" ca="1" si="148"/>
        <v>100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x14ac:dyDescent="0.3">
      <c r="A214" s="129"/>
      <c r="B214" s="200"/>
      <c r="C214" s="40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42000</v>
      </c>
      <c r="M214" s="46"/>
      <c r="N214" s="133">
        <f>N215+N216+N217</f>
        <v>42000</v>
      </c>
      <c r="O214" s="133">
        <f ca="1">IF(L214&gt;0,N214*100/L214,0)</f>
        <v>100</v>
      </c>
      <c r="P214" s="133">
        <f>IF(M214&gt;0,N214*100/M214,0)</f>
        <v>0</v>
      </c>
      <c r="Q214" s="617">
        <f ca="1">Q215+Q216+Q217</f>
        <v>347900</v>
      </c>
      <c r="R214" s="46"/>
      <c r="S214" s="133">
        <f>S215+S216+S217</f>
        <v>347900</v>
      </c>
      <c r="T214" s="133">
        <f ca="1">IF(Q214&gt;0,S214*100/Q214,0)</f>
        <v>100</v>
      </c>
      <c r="U214" s="133">
        <f>IF(R214&gt;0,S214*100/R214,0)</f>
        <v>0</v>
      </c>
    </row>
    <row r="215" spans="1:21" ht="18.75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IFERROR(__xludf.DUMMYFUNCTION("IMPORTRANGE(""https://docs.google.com/spreadsheets/d/1eHaY18a8A9IcSdp1K8H6x8fbOy06t2VsZHhMHf-1x7Y/edit?usp=sharing"",""แผน!AM86"")"),7000)</f>
        <v>7000</v>
      </c>
      <c r="M215" s="46"/>
      <c r="N215" s="639">
        <v>7000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IFERROR(__xludf.DUMMYFUNCTION("IMPORTRANGE(""https://docs.google.com/spreadsheets/d/1eHaY18a8A9IcSdp1K8H6x8fbOy06t2VsZHhMHf-1x7Y/edit?usp=sharing"",""แผน!AN86"")"),35000)</f>
        <v>35000</v>
      </c>
      <c r="M216" s="46"/>
      <c r="N216" s="639">
        <v>35000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IFERROR(__xludf.DUMMYFUNCTION("IMPORTRANGE(""https://docs.google.com/spreadsheets/d/1eHaY18a8A9IcSdp1K8H6x8fbOy06t2VsZHhMHf-1x7Y/edit?usp=sharing"",""แผน!AO86"")"),0)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639">
        <v>347900</v>
      </c>
      <c r="T217" s="137"/>
      <c r="U217" s="46"/>
    </row>
    <row r="218" spans="1:21" ht="19.5" x14ac:dyDescent="0.3">
      <c r="A218" s="139"/>
      <c r="B218" s="140"/>
      <c r="C218" s="409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IFERROR(__xludf.DUMMYFUNCTION("IMPORTRANGE(""https://docs.google.com/spreadsheets/d/1eHaY18a8A9IcSdp1K8H6x8fbOy06t2VsZHhMHf-1x7Y/edit?usp=sharing"",""แผน!AP86"")"),7)</f>
        <v>7</v>
      </c>
      <c r="J219" s="169">
        <v>7</v>
      </c>
      <c r="K219" s="47">
        <f t="shared" ref="K219:K221" ca="1" si="150">IF(I219&gt;0,J219*100/I219,0)</f>
        <v>100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IFERROR(__xludf.DUMMYFUNCTION("IMPORTRANGE(""https://docs.google.com/spreadsheets/d/1eHaY18a8A9IcSdp1K8H6x8fbOy06t2VsZHhMHf-1x7Y/edit?usp=sharing"",""แผน!AP86"")"),7)</f>
        <v>7</v>
      </c>
      <c r="J220" s="169">
        <v>7</v>
      </c>
      <c r="K220" s="47">
        <f t="shared" ca="1" si="150"/>
        <v>100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15000</v>
      </c>
      <c r="J221" s="236">
        <f t="shared" si="151"/>
        <v>15000</v>
      </c>
      <c r="K221" s="237">
        <f t="shared" ca="1" si="150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IFERROR(__xludf.DUMMYFUNCTION("IMPORTRANGE(""https://docs.google.com/spreadsheets/d/1eHaY18a8A9IcSdp1K8H6x8fbOy06t2VsZHhMHf-1x7Y/edit?usp=sharing"",""แผน!AR86"")"),2500)</f>
        <v>2500</v>
      </c>
      <c r="M223" s="46"/>
      <c r="N223" s="639">
        <v>2500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IFERROR(__xludf.DUMMYFUNCTION("IMPORTRANGE(""https://docs.google.com/spreadsheets/d/1eHaY18a8A9IcSdp1K8H6x8fbOy06t2VsZHhMHf-1x7Y/edit?usp=sharing"",""แผน!AS86"")"),2000)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IFERROR(__xludf.DUMMYFUNCTION("IMPORTRANGE(""https://docs.google.com/spreadsheets/d/1eHaY18a8A9IcSdp1K8H6x8fbOy06t2VsZHhMHf-1x7Y/edit?usp=sharing"",""แผน!AT86"")"),0)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IFERROR(__xludf.DUMMYFUNCTION("IMPORTRANGE(""https://docs.google.com/spreadsheets/d/1eHaY18a8A9IcSdp1K8H6x8fbOy06t2VsZHhMHf-1x7Y/edit?usp=sharing"",""แผน!AV86"")"),15000)</f>
        <v>15000</v>
      </c>
      <c r="J228" s="169">
        <v>15000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IFERROR(__xludf.DUMMYFUNCTION("IMPORTRANGE(""https://docs.google.com/spreadsheets/d/1eHaY18a8A9IcSdp1K8H6x8fbOy06t2VsZHhMHf-1x7Y/edit?usp=sharing"",""แผน!AV86"")"),15000)</f>
        <v>15000</v>
      </c>
      <c r="J229" s="169">
        <v>15000</v>
      </c>
      <c r="K229" s="154">
        <f t="shared" ca="1" si="152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IFERROR(__xludf.DUMMYFUNCTION("IMPORTRANGE(""https://docs.google.com/spreadsheets/d/1eHaY18a8A9IcSdp1K8H6x8fbOy06t2VsZHhMHf-1x7Y/edit?usp=sharing"",""แผน!AU86"")"),0)</f>
        <v>0</v>
      </c>
      <c r="J230" s="169">
        <v>0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3">I242+I253</f>
        <v>0</v>
      </c>
      <c r="J231" s="646">
        <f t="shared" si="153"/>
        <v>0</v>
      </c>
      <c r="K231" s="64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6">I249+I260</f>
        <v>0</v>
      </c>
      <c r="J238" s="517">
        <f t="shared" si="156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7">I251+I262</f>
        <v>0</v>
      </c>
      <c r="J240" s="517">
        <f t="shared" si="157"/>
        <v>0</v>
      </c>
      <c r="K240" s="49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7"/>
        <v>0</v>
      </c>
      <c r="J241" s="517">
        <f t="shared" si="157"/>
        <v>0</v>
      </c>
      <c r="K241" s="49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IFERROR(__xludf.DUMMYFUNCTION("IMPORTRANGE(""https://docs.google.com/spreadsheets/d/1eHaY18a8A9IcSdp1K8H6x8fbOy06t2VsZHhMHf-1x7Y/edit?usp=sharing"",""แผน!AX86"")"),0)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IFERROR(__xludf.DUMMYFUNCTION("IMPORTRANGE(""https://docs.google.com/spreadsheets/d/1eHaY18a8A9IcSdp1K8H6x8fbOy06t2VsZHhMHf-1x7Y/edit?usp=sharing"",""แผน!AY86"")"),0)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IFERROR(__xludf.DUMMYFUNCTION("IMPORTRANGE(""https://docs.google.com/spreadsheets/d/1eHaY18a8A9IcSdp1K8H6x8fbOy06t2VsZHhMHf-1x7Y/edit?usp=sharing"",""แผน!AZ86"")"),0)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IFERROR(__xludf.DUMMYFUNCTION("IMPORTRANGE(""https://docs.google.com/spreadsheets/d/1eHaY18a8A9IcSdp1K8H6x8fbOy06t2VsZHhMHf-1x7Y/edit?usp=sharing"",""แผน!BA86"")"),0)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IFERROR(__xludf.DUMMYFUNCTION("IMPORTRANGE(""https://docs.google.com/spreadsheets/d/1eHaY18a8A9IcSdp1K8H6x8fbOy06t2VsZHhMHf-1x7Y/edit?usp=sharing"",""แผน!BG86"")"),0)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IFERROR(__xludf.DUMMYFUNCTION("IMPORTRANGE(""https://docs.google.com/spreadsheets/d/1eHaY18a8A9IcSdp1K8H6x8fbOy06t2VsZHhMHf-1x7Y/edit?usp=sharing"",""แผน!BB86"")"),0)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IFERROR(__xludf.DUMMYFUNCTION("IMPORTRANGE(""https://docs.google.com/spreadsheets/d/1eHaY18a8A9IcSdp1K8H6x8fbOy06t2VsZHhMHf-1x7Y/edit?usp=sharing"",""แผน!BC86"")"),0)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IFERROR(__xludf.DUMMYFUNCTION("IMPORTRANGE(""https://docs.google.com/spreadsheets/d/1eHaY18a8A9IcSdp1K8H6x8fbOy06t2VsZHhMHf-1x7Y/edit?usp=sharing"",""แผน!BD86"")"),0)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IFERROR(__xludf.DUMMYFUNCTION("IMPORTRANGE(""https://docs.google.com/spreadsheets/d/1eHaY18a8A9IcSdp1K8H6x8fbOy06t2VsZHhMHf-1x7Y/edit?usp=sharing"",""แผน!BE86"")"),0)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IFERROR(__xludf.DUMMYFUNCTION("IMPORTRANGE(""https://docs.google.com/spreadsheets/d/1eHaY18a8A9IcSdp1K8H6x8fbOy06t2VsZHhMHf-1x7Y/edit?usp=sharing"",""แผน!BH86"")"),0)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22</v>
      </c>
      <c r="J265" s="686">
        <f t="shared" si="163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4">L267+L268</f>
        <v>5000</v>
      </c>
      <c r="M266" s="441">
        <f t="shared" ca="1" si="164"/>
        <v>24500</v>
      </c>
      <c r="N266" s="441">
        <f t="shared" ca="1" si="164"/>
        <v>24500</v>
      </c>
      <c r="O266" s="441">
        <f t="shared" ref="O266:O274" ca="1" si="165">IF(L266&gt;0,N266*100/L266,0)</f>
        <v>490</v>
      </c>
      <c r="P266" s="441">
        <f t="shared" ref="P266:P274" ca="1" si="166">IF(M266&gt;0,N266*100/M266,0)</f>
        <v>100</v>
      </c>
      <c r="Q266" s="441">
        <f t="shared" ref="Q266:S266" ca="1" si="167">Q267+Q268</f>
        <v>50660</v>
      </c>
      <c r="R266" s="441">
        <f t="shared" ca="1" si="167"/>
        <v>50660</v>
      </c>
      <c r="S266" s="441">
        <f t="shared" ca="1" si="167"/>
        <v>50660</v>
      </c>
      <c r="T266" s="441">
        <f t="shared" ref="T266:T274" ca="1" si="168">IF(Q266&gt;0,S266*100/Q266,0)</f>
        <v>100</v>
      </c>
      <c r="U266" s="441">
        <f t="shared" ref="U266:U274" ca="1" si="169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70"/>
        <v>5000</v>
      </c>
      <c r="M268" s="352">
        <f t="shared" ca="1" si="170"/>
        <v>24500</v>
      </c>
      <c r="N268" s="352">
        <f t="shared" ca="1" si="170"/>
        <v>24500</v>
      </c>
      <c r="O268" s="352">
        <f t="shared" ca="1" si="165"/>
        <v>490</v>
      </c>
      <c r="P268" s="352">
        <f t="shared" ca="1" si="166"/>
        <v>100</v>
      </c>
      <c r="Q268" s="352">
        <f t="shared" ca="1" si="171"/>
        <v>50660</v>
      </c>
      <c r="R268" s="352">
        <f t="shared" ca="1" si="171"/>
        <v>50660</v>
      </c>
      <c r="S268" s="352">
        <f t="shared" ca="1" si="171"/>
        <v>50660</v>
      </c>
      <c r="T268" s="352">
        <f t="shared" ca="1" si="168"/>
        <v>100</v>
      </c>
      <c r="U268" s="352">
        <f t="shared" ca="1" si="169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2">L270+L271</f>
        <v>5000</v>
      </c>
      <c r="M269" s="352">
        <f t="shared" ca="1" si="172"/>
        <v>24500</v>
      </c>
      <c r="N269" s="352">
        <f t="shared" ca="1" si="172"/>
        <v>24500</v>
      </c>
      <c r="O269" s="352">
        <f t="shared" ca="1" si="165"/>
        <v>490</v>
      </c>
      <c r="P269" s="352">
        <f t="shared" ca="1" si="166"/>
        <v>100</v>
      </c>
      <c r="Q269" s="352">
        <f t="shared" ref="Q269:S269" ca="1" si="173">Q270+Q271</f>
        <v>50660</v>
      </c>
      <c r="R269" s="352">
        <f t="shared" ca="1" si="173"/>
        <v>50660</v>
      </c>
      <c r="S269" s="352">
        <f t="shared" ca="1" si="173"/>
        <v>50660</v>
      </c>
      <c r="T269" s="352">
        <f t="shared" ca="1" si="168"/>
        <v>100</v>
      </c>
      <c r="U269" s="352">
        <f t="shared" ca="1" si="169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IFERROR(__xludf.DUMMYFUNCTION("IMPORTRANGE(""https://docs.google.com/spreadsheets/d/1-uDff_7J0KD5mKrp0Vvzr7lt3OU09vwQwhkpOPPYv2Y/edit?usp=sharing"",""งบพรบ!DE86"")"),5000)</f>
        <v>5000</v>
      </c>
      <c r="M271" s="352">
        <f ca="1">IFERROR(__xludf.DUMMYFUNCTION("IMPORTRANGE(""https://docs.google.com/spreadsheets/d/1-uDff_7J0KD5mKrp0Vvzr7lt3OU09vwQwhkpOPPYv2Y/edit?usp=sharing"",""งบพรบ!DJ86"")"),24500)</f>
        <v>24500</v>
      </c>
      <c r="N271" s="352">
        <f ca="1">IFERROR(__xludf.DUMMYFUNCTION("IMPORTRANGE(""https://docs.google.com/spreadsheets/d/1-uDff_7J0KD5mKrp0Vvzr7lt3OU09vwQwhkpOPPYv2Y/edit?usp=sharing"",""งบพรบ!DL86"")"),24500)</f>
        <v>24500</v>
      </c>
      <c r="O271" s="352">
        <f t="shared" ca="1" si="165"/>
        <v>490</v>
      </c>
      <c r="P271" s="352">
        <f t="shared" ca="1" si="166"/>
        <v>100</v>
      </c>
      <c r="Q271" s="352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352">
        <f ca="1">IFERROR(__xludf.DUMMYFUNCTION("IMPORTRANGE(""https://docs.google.com/spreadsheets/d/1ItG2mGa2ceCfYo0BwxsXqNm01IGEUdYcSSLTEv9YCik/edit?usp=sharing"",""เบิกจ่ายกองทุน!AR86"")"),50660)</f>
        <v>50660</v>
      </c>
      <c r="T271" s="352">
        <f t="shared" ca="1" si="168"/>
        <v>100</v>
      </c>
      <c r="U271" s="352">
        <f t="shared" ca="1" si="169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4">L273+L274</f>
        <v>0</v>
      </c>
      <c r="M272" s="352">
        <f t="shared" ca="1" si="174"/>
        <v>0</v>
      </c>
      <c r="N272" s="352">
        <f t="shared" ca="1" si="174"/>
        <v>0</v>
      </c>
      <c r="O272" s="352">
        <f t="shared" ca="1" si="165"/>
        <v>0</v>
      </c>
      <c r="P272" s="352">
        <f t="shared" ca="1" si="166"/>
        <v>0</v>
      </c>
      <c r="Q272" s="352">
        <f t="shared" ref="Q272:S272" si="175">Q273+Q274</f>
        <v>0</v>
      </c>
      <c r="R272" s="352">
        <f t="shared" si="175"/>
        <v>0</v>
      </c>
      <c r="S272" s="352">
        <f t="shared" si="175"/>
        <v>0</v>
      </c>
      <c r="T272" s="352">
        <f t="shared" si="168"/>
        <v>0</v>
      </c>
      <c r="U272" s="352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IFERROR(__xludf.DUMMYFUNCTION("IMPORTRANGE(""https://docs.google.com/spreadsheets/d/1-uDff_7J0KD5mKrp0Vvzr7lt3OU09vwQwhkpOPPYv2Y/edit?usp=sharing"",""งบพรบ!DH86"")"),0)</f>
        <v>0</v>
      </c>
      <c r="M274" s="352">
        <f ca="1">IFERROR(__xludf.DUMMYFUNCTION("IMPORTRANGE(""https://docs.google.com/spreadsheets/d/1-uDff_7J0KD5mKrp0Vvzr7lt3OU09vwQwhkpOPPYv2Y/edit?usp=sharing"",""งบพรบ!DK86"")"),0)</f>
        <v>0</v>
      </c>
      <c r="N274" s="352">
        <f ca="1">IFERROR(__xludf.DUMMYFUNCTION("IMPORTRANGE(""https://docs.google.com/spreadsheets/d/1-uDff_7J0KD5mKrp0Vvzr7lt3OU09vwQwhkpOPPYv2Y/edit?usp=sharing"",""งบพรบ!DM86"")"),0)</f>
        <v>0</v>
      </c>
      <c r="O274" s="352">
        <f t="shared" ca="1" si="165"/>
        <v>0</v>
      </c>
      <c r="P274" s="352">
        <f t="shared" ca="1" si="166"/>
        <v>0</v>
      </c>
      <c r="Q274" s="352">
        <v>0</v>
      </c>
      <c r="R274" s="352">
        <v>0</v>
      </c>
      <c r="S274" s="352">
        <v>0</v>
      </c>
      <c r="T274" s="352">
        <f t="shared" si="168"/>
        <v>0</v>
      </c>
      <c r="U274" s="352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IFERROR(__xludf.DUMMYFUNCTION("IMPORTRANGE(""https://docs.google.com/spreadsheets/d/1eHaY18a8A9IcSdp1K8H6x8fbOy06t2VsZHhMHf-1x7Y/edit?usp=sharing"",""แผน!EC86"")"),22)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IFERROR(__xludf.DUMMYFUNCTION("IMPORTRANGE(""https://docs.google.com/spreadsheets/d/1eHaY18a8A9IcSdp1K8H6x8fbOy06t2VsZHhMHf-1x7Y/edit?usp=sharing"",""แผน!EE86"")"),0)</f>
        <v>0</v>
      </c>
      <c r="J292" s="169">
        <v>0</v>
      </c>
      <c r="K292" s="154">
        <f t="shared" ref="K292:K293" ca="1" si="191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IFERROR(__xludf.DUMMYFUNCTION("IMPORTRANGE(""https://docs.google.com/spreadsheets/d/1eHaY18a8A9IcSdp1K8H6x8fbOy06t2VsZHhMHf-1x7Y/edit?usp=sharing"",""แผน!ED86"")"),0)</f>
        <v>0</v>
      </c>
      <c r="J293" s="371">
        <f>J296</f>
        <v>0</v>
      </c>
      <c r="K293" s="149">
        <f t="shared" ca="1" si="191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IFERROR(__xludf.DUMMYFUNCTION("IMPORTRANGE(""https://docs.google.com/spreadsheets/d/1eHaY18a8A9IcSdp1K8H6x8fbOy06t2VsZHhMHf-1x7Y/edit?usp=sharing"",""แผน!ED86"")"),0)</f>
        <v>0</v>
      </c>
      <c r="J295" s="169">
        <v>0</v>
      </c>
      <c r="K295" s="154">
        <f t="shared" ref="K295:K296" ca="1" si="192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IFERROR(__xludf.DUMMYFUNCTION("IMPORTRANGE(""https://docs.google.com/spreadsheets/d/1eHaY18a8A9IcSdp1K8H6x8fbOy06t2VsZHhMHf-1x7Y/edit?usp=sharing"",""แผน!ED86"")"),0)</f>
        <v>0</v>
      </c>
      <c r="J296" s="169">
        <v>0</v>
      </c>
      <c r="K296" s="154">
        <f t="shared" ca="1" si="192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25</v>
      </c>
      <c r="J302" s="321">
        <f t="shared" si="193"/>
        <v>25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0</v>
      </c>
      <c r="M303" s="133">
        <f t="shared" ca="1" si="194"/>
        <v>0</v>
      </c>
      <c r="N303" s="133">
        <f t="shared" ca="1" si="194"/>
        <v>0</v>
      </c>
      <c r="O303" s="133">
        <f t="shared" ref="O303:O311" ca="1" si="195">IF(L303&gt;0,N303*100/L303,0)</f>
        <v>0</v>
      </c>
      <c r="P303" s="133">
        <f t="shared" ref="P303:P311" ca="1" si="196">IF(M303&gt;0,N303*100/M303,0)</f>
        <v>0</v>
      </c>
      <c r="Q303" s="133">
        <f t="shared" ref="Q303:S303" ca="1" si="197">Q304+Q305</f>
        <v>226234.22</v>
      </c>
      <c r="R303" s="133">
        <f t="shared" ca="1" si="197"/>
        <v>230434</v>
      </c>
      <c r="S303" s="133">
        <f t="shared" ca="1" si="197"/>
        <v>189084</v>
      </c>
      <c r="T303" s="133">
        <f t="shared" ref="T303:T311" ca="1" si="198">IF(Q303&gt;0,S303*100/Q303,0)</f>
        <v>83.57886795375164</v>
      </c>
      <c r="U303" s="133">
        <f t="shared" ref="U303:U311" ca="1" si="199">IF(R303&gt;0,S303*100/R303,0)</f>
        <v>82.055599434111286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0</v>
      </c>
      <c r="M305" s="47">
        <f t="shared" ca="1" si="200"/>
        <v>0</v>
      </c>
      <c r="N305" s="47">
        <f t="shared" ca="1" si="200"/>
        <v>0</v>
      </c>
      <c r="O305" s="47">
        <f t="shared" ca="1" si="195"/>
        <v>0</v>
      </c>
      <c r="P305" s="47">
        <f t="shared" ca="1" si="196"/>
        <v>0</v>
      </c>
      <c r="Q305" s="47">
        <f t="shared" ca="1" si="201"/>
        <v>226234.22</v>
      </c>
      <c r="R305" s="47">
        <f t="shared" ca="1" si="201"/>
        <v>230434</v>
      </c>
      <c r="S305" s="47">
        <f t="shared" ca="1" si="201"/>
        <v>189084</v>
      </c>
      <c r="T305" s="47">
        <f t="shared" ca="1" si="198"/>
        <v>83.57886795375164</v>
      </c>
      <c r="U305" s="47">
        <f t="shared" ca="1" si="199"/>
        <v>82.055599434111286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0</v>
      </c>
      <c r="M306" s="47">
        <f t="shared" ca="1" si="202"/>
        <v>0</v>
      </c>
      <c r="N306" s="47">
        <f t="shared" ca="1" si="202"/>
        <v>0</v>
      </c>
      <c r="O306" s="47">
        <f t="shared" ca="1" si="195"/>
        <v>0</v>
      </c>
      <c r="P306" s="47">
        <f t="shared" ca="1" si="196"/>
        <v>0</v>
      </c>
      <c r="Q306" s="47">
        <f t="shared" ref="Q306:S306" ca="1" si="203">Q307+Q308</f>
        <v>226234.22</v>
      </c>
      <c r="R306" s="47">
        <f t="shared" ca="1" si="203"/>
        <v>230434</v>
      </c>
      <c r="S306" s="47">
        <f t="shared" ca="1" si="203"/>
        <v>189084</v>
      </c>
      <c r="T306" s="47">
        <f t="shared" ca="1" si="198"/>
        <v>83.57886795375164</v>
      </c>
      <c r="U306" s="47">
        <f t="shared" ca="1" si="199"/>
        <v>82.055599434111286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t="shared" ca="1" si="195"/>
        <v>0</v>
      </c>
      <c r="P308" s="47">
        <f t="shared" ca="1" si="196"/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IFERROR(__xludf.DUMMYFUNCTION("IMPORTRANGE(""https://docs.google.com/spreadsheets/d/1ItG2mGa2ceCfYo0BwxsXqNm01IGEUdYcSSLTEv9YCik/edit?usp=sharing"",""เบิกจ่ายกองทุน!BC86"")"),230434)</f>
        <v>230434</v>
      </c>
      <c r="S308" s="47">
        <f ca="1">IFERROR(__xludf.DUMMYFUNCTION("IMPORTRANGE(""https://docs.google.com/spreadsheets/d/1ItG2mGa2ceCfYo0BwxsXqNm01IGEUdYcSSLTEv9YCik/edit?usp=sharing"",""เบิกจ่ายกองทุน!BD86"")"),189084)</f>
        <v>189084</v>
      </c>
      <c r="T308" s="47">
        <f t="shared" ca="1" si="198"/>
        <v>83.57886795375164</v>
      </c>
      <c r="U308" s="47">
        <f t="shared" ca="1" si="199"/>
        <v>82.055599434111286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IFERROR(__xludf.DUMMYFUNCTION("IMPORTRANGE(""https://docs.google.com/spreadsheets/d/1eHaY18a8A9IcSdp1K8H6x8fbOy06t2VsZHhMHf-1x7Y/edit?usp=sharing"",""แผน!EF86"")"),25)</f>
        <v>25</v>
      </c>
      <c r="J314" s="169">
        <v>25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1</v>
      </c>
      <c r="J319" s="321">
        <f t="shared" si="206"/>
        <v>1</v>
      </c>
      <c r="K319" s="322">
        <f ca="1">IF(I319&gt;0,J319*100/I319,0)</f>
        <v>100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x14ac:dyDescent="0.3">
      <c r="A320" s="129"/>
      <c r="B320" s="200"/>
      <c r="C320" s="40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125000</v>
      </c>
      <c r="M320" s="133">
        <f t="shared" ca="1" si="207"/>
        <v>125000</v>
      </c>
      <c r="N320" s="133">
        <f t="shared" ca="1" si="207"/>
        <v>115500</v>
      </c>
      <c r="O320" s="133">
        <f t="shared" ref="O320:O328" ca="1" si="208">IF(L320&gt;0,N320*100/L320,0)</f>
        <v>92.4</v>
      </c>
      <c r="P320" s="133">
        <f t="shared" ref="P320:P328" ca="1" si="209">IF(M320&gt;0,N320*100/M320,0)</f>
        <v>92.4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125000</v>
      </c>
      <c r="M322" s="47">
        <f t="shared" ca="1" si="213"/>
        <v>125000</v>
      </c>
      <c r="N322" s="47">
        <f t="shared" ca="1" si="213"/>
        <v>115500</v>
      </c>
      <c r="O322" s="47">
        <f t="shared" ca="1" si="208"/>
        <v>92.4</v>
      </c>
      <c r="P322" s="47">
        <f t="shared" ca="1" si="209"/>
        <v>92.4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125000</v>
      </c>
      <c r="M323" s="47">
        <f t="shared" ca="1" si="215"/>
        <v>125000</v>
      </c>
      <c r="N323" s="47">
        <f t="shared" ca="1" si="215"/>
        <v>115500</v>
      </c>
      <c r="O323" s="47">
        <f t="shared" ca="1" si="208"/>
        <v>92.4</v>
      </c>
      <c r="P323" s="47">
        <f t="shared" ca="1" si="209"/>
        <v>92.4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IFERROR(__xludf.DUMMYFUNCTION("IMPORTRANGE(""https://docs.google.com/spreadsheets/d/1-uDff_7J0KD5mKrp0Vvzr7lt3OU09vwQwhkpOPPYv2Y/edit?usp=sharing"",""งบพรบ!EN86"")"),125000)</f>
        <v>125000</v>
      </c>
      <c r="N325" s="47">
        <f ca="1">IFERROR(__xludf.DUMMYFUNCTION("IMPORTRANGE(""https://docs.google.com/spreadsheets/d/1-uDff_7J0KD5mKrp0Vvzr7lt3OU09vwQwhkpOPPYv2Y/edit?usp=sharing"",""งบพรบ!EP86"")"),115500)</f>
        <v>115500</v>
      </c>
      <c r="O325" s="47">
        <f t="shared" ca="1" si="208"/>
        <v>92.4</v>
      </c>
      <c r="P325" s="47">
        <f t="shared" ca="1" si="209"/>
        <v>92.4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x14ac:dyDescent="0.3">
      <c r="A329" s="139"/>
      <c r="B329" s="140"/>
      <c r="C329" s="40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IFERROR(__xludf.DUMMYFUNCTION("IMPORTRANGE(""https://docs.google.com/spreadsheets/d/1eHaY18a8A9IcSdp1K8H6x8fbOy06t2VsZHhMHf-1x7Y/edit?usp=sharing"",""แผน!EJ86"")"),1)</f>
        <v>1</v>
      </c>
      <c r="J330" s="169">
        <v>1</v>
      </c>
      <c r="K330" s="47">
        <f ca="1">IF(I330&gt;0,J330*100/I330,0)</f>
        <v>100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IFERROR(__xludf.DUMMYFUNCTION("IMPORTRANGE(""https://docs.google.com/spreadsheets/d/1eHaY18a8A9IcSdp1K8H6x8fbOy06t2VsZHhMHf-1x7Y/edit?usp=sharing"",""แผน!EK86"")"),1300)</f>
        <v>1300</v>
      </c>
      <c r="J332" s="718">
        <f ca="1">J344+J347+J348+J349+J353+J354</f>
        <v>4535</v>
      </c>
      <c r="K332" s="719">
        <f ca="1">IF(I332&gt;0,J332*100/I332,0)</f>
        <v>348.84615384615387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183000</v>
      </c>
      <c r="M333" s="133">
        <f t="shared" ca="1" si="219"/>
        <v>183000</v>
      </c>
      <c r="N333" s="133">
        <f t="shared" ca="1" si="219"/>
        <v>163293.5</v>
      </c>
      <c r="O333" s="133">
        <f t="shared" ref="O333:O341" ca="1" si="220">IF(L333&gt;0,N333*100/L333,0)</f>
        <v>89.231420765027323</v>
      </c>
      <c r="P333" s="133">
        <f t="shared" ref="P333:P341" ca="1" si="221">IF(M333&gt;0,N333*100/M333,0)</f>
        <v>89.231420765027323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183000</v>
      </c>
      <c r="M335" s="47">
        <f t="shared" ca="1" si="225"/>
        <v>183000</v>
      </c>
      <c r="N335" s="47">
        <f t="shared" ca="1" si="225"/>
        <v>163293.5</v>
      </c>
      <c r="O335" s="47">
        <f t="shared" ca="1" si="220"/>
        <v>89.231420765027323</v>
      </c>
      <c r="P335" s="47">
        <f t="shared" ca="1" si="221"/>
        <v>89.231420765027323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183000</v>
      </c>
      <c r="M336" s="47">
        <f t="shared" ca="1" si="227"/>
        <v>183000</v>
      </c>
      <c r="N336" s="47">
        <f t="shared" ca="1" si="227"/>
        <v>163293.5</v>
      </c>
      <c r="O336" s="47">
        <f t="shared" ca="1" si="220"/>
        <v>89.231420765027323</v>
      </c>
      <c r="P336" s="47">
        <f t="shared" ca="1" si="221"/>
        <v>89.231420765027323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IFERROR(__xludf.DUMMYFUNCTION("IMPORTRANGE(""https://docs.google.com/spreadsheets/d/1-uDff_7J0KD5mKrp0Vvzr7lt3OU09vwQwhkpOPPYv2Y/edit?usp=sharing"",""งบพรบ!EX86"")"),183000)</f>
        <v>183000</v>
      </c>
      <c r="N338" s="47">
        <f ca="1">IFERROR(__xludf.DUMMYFUNCTION("IMPORTRANGE(""https://docs.google.com/spreadsheets/d/1-uDff_7J0KD5mKrp0Vvzr7lt3OU09vwQwhkpOPPYv2Y/edit?usp=sharing"",""งบพรบ!EZ86"")"),163293.5)</f>
        <v>163293.5</v>
      </c>
      <c r="O338" s="47">
        <f t="shared" ca="1" si="220"/>
        <v>89.231420765027323</v>
      </c>
      <c r="P338" s="47">
        <f t="shared" ca="1" si="221"/>
        <v>89.231420765027323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414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IFERROR(__xludf.DUMMYFUNCTION("IMPORTRANGE(""https://docs.google.com/spreadsheets/d/1awYsYK3VOup2i3Pq_Yjnu8DRu_mYwSBnCR2QPthd0rU/edit?usp=sharing"",""ศูนย์ยกเว้นโฉนด!D86"")"),408)</f>
        <v>408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IFERROR(__xludf.DUMMYFUNCTION("IMPORTRANGE(""https://docs.google.com/spreadsheets/d/1eHaY18a8A9IcSdp1K8H6x8fbOy06t2VsZHhMHf-1x7Y/edit?usp=sharing"",""แผน!EL86"")"),5)</f>
        <v>5</v>
      </c>
      <c r="J346" s="372">
        <f ca="1">IFERROR(__xludf.DUMMYFUNCTION("IMPORTRANGE(""https://docs.google.com/spreadsheets/d/1awYsYK3VOup2i3Pq_Yjnu8DRu_mYwSBnCR2QPthd0rU/edit?usp=sharing"",""ศูนย์รวม!E86"")"),8)</f>
        <v>8</v>
      </c>
      <c r="K346" s="47">
        <f ca="1">IF(I346&gt;0,J346*100/I346,0)</f>
        <v>160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4121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IFERROR(__xludf.DUMMYFUNCTION("IMPORTRANGE(""https://docs.google.com/spreadsheets/d/1awYsYK3VOup2i3Pq_Yjnu8DRu_mYwSBnCR2QPthd0rU/edit?usp=sharing"",""โฉนดM3!G86"")"),115)</f>
        <v>115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IFERROR(__xludf.DUMMYFUNCTION("IMPORTRANGE(""https://docs.google.com/spreadsheets/d/1awYsYK3VOup2i3Pq_Yjnu8DRu_mYwSBnCR2QPthd0rU/edit?usp=sharing"",""โฉนดM3!H86"")"),3072)</f>
        <v>3072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IFERROR(__xludf.DUMMYFUNCTION("IMPORTRANGE(""https://docs.google.com/spreadsheets/d/1awYsYK3VOup2i3Pq_Yjnu8DRu_mYwSBnCR2QPthd0rU/edit?usp=sharing"",""โฉนดM3!I86"")"),1049)</f>
        <v>1049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916010</v>
      </c>
      <c r="M356" s="133">
        <f t="shared" ca="1" si="231"/>
        <v>1057810</v>
      </c>
      <c r="N356" s="133">
        <f t="shared" ca="1" si="231"/>
        <v>908918.04</v>
      </c>
      <c r="O356" s="133">
        <f t="shared" ref="O356:O364" ca="1" si="232">IF(L356&gt;0,N356*100/L356,0)</f>
        <v>99.225777011168006</v>
      </c>
      <c r="P356" s="133">
        <f t="shared" ref="P356:P364" ca="1" si="233">IF(M356&gt;0,N356*100/M356,0)</f>
        <v>85.924508181998661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916010</v>
      </c>
      <c r="M358" s="47">
        <f t="shared" ca="1" si="237"/>
        <v>1057810</v>
      </c>
      <c r="N358" s="47">
        <f t="shared" ca="1" si="237"/>
        <v>908918.04</v>
      </c>
      <c r="O358" s="47">
        <f t="shared" ca="1" si="232"/>
        <v>99.225777011168006</v>
      </c>
      <c r="P358" s="47">
        <f t="shared" ca="1" si="233"/>
        <v>85.924508181998661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916010</v>
      </c>
      <c r="M359" s="47">
        <f t="shared" ca="1" si="239"/>
        <v>1057810</v>
      </c>
      <c r="N359" s="47">
        <f t="shared" ca="1" si="239"/>
        <v>908918.04</v>
      </c>
      <c r="O359" s="47">
        <f t="shared" ca="1" si="232"/>
        <v>99.225777011168006</v>
      </c>
      <c r="P359" s="47">
        <f t="shared" ca="1" si="233"/>
        <v>85.924508181998661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IFERROR(__xludf.DUMMYFUNCTION("IMPORTRANGE(""https://docs.google.com/spreadsheets/d/1-uDff_7J0KD5mKrp0Vvzr7lt3OU09vwQwhkpOPPYv2Y/edit?usp=sharing"",""งบพรบ!FH86"")"),1057810)</f>
        <v>1057810</v>
      </c>
      <c r="N361" s="47">
        <f ca="1">IFERROR(__xludf.DUMMYFUNCTION("IMPORTRANGE(""https://docs.google.com/spreadsheets/d/1-uDff_7J0KD5mKrp0Vvzr7lt3OU09vwQwhkpOPPYv2Y/edit?usp=sharing"",""งบพรบ!FJ86"")"),908918.04)</f>
        <v>908918.04</v>
      </c>
      <c r="O361" s="47">
        <f t="shared" ca="1" si="232"/>
        <v>99.225777011168006</v>
      </c>
      <c r="P361" s="47">
        <f t="shared" ca="1" si="233"/>
        <v>85.924508181998661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245</v>
      </c>
      <c r="J365" s="236">
        <f t="shared" ca="1" si="243"/>
        <v>308</v>
      </c>
      <c r="K365" s="237">
        <f ca="1">IF(I365&gt;0,J365*100/I365,0)</f>
        <v>125.71428571428571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IFERROR(__xludf.DUMMYFUNCTION("IMPORTRANGE(""https://docs.google.com/spreadsheets/d/1tdoBKaGub7dwA3U6UFTqxio9LNnvDCQjHKmttSEBsFQ/edit?usp=sharing"",""จัดที่ดิน!AB86"")"),195)</f>
        <v>195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IFERROR(__xludf.DUMMYFUNCTION("IMPORTRANGE(""https://docs.google.com/spreadsheets/d/1eHaY18a8A9IcSdp1K8H6x8fbOy06t2VsZHhMHf-1x7Y/edit?usp=sharing"",""แผน!EW86"")"),1390)</f>
        <v>1390</v>
      </c>
      <c r="J368" s="729">
        <f ca="1">IFERROR(__xludf.DUMMYFUNCTION("IMPORTRANGE(""https://docs.google.com/spreadsheets/d/1tdoBKaGub7dwA3U6UFTqxio9LNnvDCQjHKmttSEBsFQ/edit?usp=sharing"",""จัดที่ดิน!AC86"")"),1422.61)</f>
        <v>1422.61</v>
      </c>
      <c r="K368" s="47">
        <f t="shared" ca="1" si="244"/>
        <v>102.34604316546762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IFERROR(__xludf.DUMMYFUNCTION("IMPORTRANGE(""https://docs.google.com/spreadsheets/d/1eHaY18a8A9IcSdp1K8H6x8fbOy06t2VsZHhMHf-1x7Y/edit?usp=sharing"",""แผน!EX86"")"),245)</f>
        <v>245</v>
      </c>
      <c r="J369" s="372">
        <f ca="1">IFERROR(__xludf.DUMMYFUNCTION("IMPORTRANGE(""https://docs.google.com/spreadsheets/d/1tdoBKaGub7dwA3U6UFTqxio9LNnvDCQjHKmttSEBsFQ/edit?usp=sharing"",""จัดที่ดิน!AD86"")"),312)</f>
        <v>312</v>
      </c>
      <c r="K369" s="47">
        <f t="shared" ca="1" si="244"/>
        <v>127.34693877551021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IFERROR(__xludf.DUMMYFUNCTION("IMPORTRANGE(""https://docs.google.com/spreadsheets/d/1tdoBKaGub7dwA3U6UFTqxio9LNnvDCQjHKmttSEBsFQ/edit?usp=sharing"",""จัดที่ดิน!AE86"")"),3423.4)</f>
        <v>3423.4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IFERROR(__xludf.DUMMYFUNCTION("IMPORTRANGE(""https://docs.google.com/spreadsheets/d/1eHaY18a8A9IcSdp1K8H6x8fbOy06t2VsZHhMHf-1x7Y/edit?usp=sharing"",""แผน!EY86"")"),245)</f>
        <v>245</v>
      </c>
      <c r="J371" s="372">
        <f ca="1">IFERROR(__xludf.DUMMYFUNCTION("IMPORTRANGE(""https://docs.google.com/spreadsheets/d/1tdoBKaGub7dwA3U6UFTqxio9LNnvDCQjHKmttSEBsFQ/edit?usp=sharing"",""จัดที่ดิน!AF86"")"),308)</f>
        <v>308</v>
      </c>
      <c r="K371" s="47">
        <f t="shared" ca="1" si="244"/>
        <v>125.71428571428571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IFERROR(__xludf.DUMMYFUNCTION("IMPORTRANGE(""https://docs.google.com/spreadsheets/d/1tdoBKaGub7dwA3U6UFTqxio9LNnvDCQjHKmttSEBsFQ/edit?usp=sharing"",""จัดที่ดิน!AG86"")"),3390.69)</f>
        <v>3390.69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1000</v>
      </c>
      <c r="J374" s="737">
        <f t="shared" ca="1" si="245"/>
        <v>746</v>
      </c>
      <c r="K374" s="738">
        <f ca="1">IF(I374&gt;0,J374*100/I374,0)</f>
        <v>74.599999999999994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0</v>
      </c>
      <c r="M375" s="133">
        <f t="shared" ca="1" si="246"/>
        <v>0</v>
      </c>
      <c r="N375" s="133">
        <f t="shared" ca="1" si="246"/>
        <v>0</v>
      </c>
      <c r="O375" s="133">
        <f t="shared" ref="O375:O383" ca="1" si="247">IF(L375&gt;0,N375*100/L375,0)</f>
        <v>0</v>
      </c>
      <c r="P375" s="133">
        <f t="shared" ref="P375:P383" ca="1" si="248">IF(M375&gt;0,N375*100/M375,0)</f>
        <v>0</v>
      </c>
      <c r="Q375" s="133">
        <f t="shared" ref="Q375:S375" ca="1" si="249">Q376+Q377</f>
        <v>62500</v>
      </c>
      <c r="R375" s="133">
        <f t="shared" ca="1" si="249"/>
        <v>62400</v>
      </c>
      <c r="S375" s="133">
        <f t="shared" ca="1" si="249"/>
        <v>62400</v>
      </c>
      <c r="T375" s="133">
        <f t="shared" ref="T375:T383" ca="1" si="250">IF(Q375&gt;0,S375*100/Q375,0)</f>
        <v>99.84</v>
      </c>
      <c r="U375" s="133">
        <f t="shared" ref="U375:U383" ca="1" si="251">IF(R375&gt;0,S375*100/R375,0)</f>
        <v>100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0</v>
      </c>
      <c r="M377" s="47">
        <f t="shared" ca="1" si="252"/>
        <v>0</v>
      </c>
      <c r="N377" s="47">
        <f t="shared" ca="1" si="252"/>
        <v>0</v>
      </c>
      <c r="O377" s="47">
        <f t="shared" ca="1" si="247"/>
        <v>0</v>
      </c>
      <c r="P377" s="47">
        <f t="shared" ca="1" si="248"/>
        <v>0</v>
      </c>
      <c r="Q377" s="47">
        <f t="shared" ca="1" si="253"/>
        <v>62500</v>
      </c>
      <c r="R377" s="47">
        <f t="shared" ca="1" si="253"/>
        <v>62400</v>
      </c>
      <c r="S377" s="47">
        <f t="shared" ca="1" si="253"/>
        <v>62400</v>
      </c>
      <c r="T377" s="47">
        <f t="shared" ca="1" si="250"/>
        <v>99.84</v>
      </c>
      <c r="U377" s="47">
        <f t="shared" ca="1" si="251"/>
        <v>100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0</v>
      </c>
      <c r="M378" s="47">
        <f t="shared" ca="1" si="254"/>
        <v>0</v>
      </c>
      <c r="N378" s="47">
        <f t="shared" ca="1" si="254"/>
        <v>0</v>
      </c>
      <c r="O378" s="47">
        <f t="shared" ca="1" si="247"/>
        <v>0</v>
      </c>
      <c r="P378" s="47">
        <f t="shared" ca="1" si="248"/>
        <v>0</v>
      </c>
      <c r="Q378" s="47">
        <f t="shared" ref="Q378:S378" ca="1" si="255">Q379+Q380</f>
        <v>62500</v>
      </c>
      <c r="R378" s="47">
        <f t="shared" ca="1" si="255"/>
        <v>62400</v>
      </c>
      <c r="S378" s="47">
        <f t="shared" ca="1" si="255"/>
        <v>62400</v>
      </c>
      <c r="T378" s="47">
        <f t="shared" ca="1" si="250"/>
        <v>99.84</v>
      </c>
      <c r="U378" s="47">
        <f t="shared" ca="1" si="251"/>
        <v>100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t="shared" ca="1" si="247"/>
        <v>0</v>
      </c>
      <c r="P380" s="47">
        <f t="shared" ca="1" si="248"/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IFERROR(__xludf.DUMMYFUNCTION("IMPORTRANGE(""https://docs.google.com/spreadsheets/d/1ItG2mGa2ceCfYo0BwxsXqNm01IGEUdYcSSLTEv9YCik/edit?usp=sharing"",""เบิกจ่ายกองทุน!BX86"")"),62400)</f>
        <v>62400</v>
      </c>
      <c r="S380" s="47">
        <f ca="1">IFERROR(__xludf.DUMMYFUNCTION("IMPORTRANGE(""https://docs.google.com/spreadsheets/d/1ItG2mGa2ceCfYo0BwxsXqNm01IGEUdYcSSLTEv9YCik/edit?usp=sharing"",""เบิกจ่ายกองทุน!BY86"")"),62400)</f>
        <v>62400</v>
      </c>
      <c r="T380" s="47">
        <f t="shared" ca="1" si="250"/>
        <v>99.84</v>
      </c>
      <c r="U380" s="47">
        <f t="shared" ca="1" si="251"/>
        <v>100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IFERROR(__xludf.DUMMYFUNCTION("IMPORTRANGE(""https://docs.google.com/spreadsheets/d/1w5rwWK1o49a35cNtocGL0gxDwhFSTZUQu90BiH9_zqM/edit?usp=sharing"",""RTK!H86"")"),109)</f>
        <v>109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IFERROR(__xludf.DUMMYFUNCTION("IMPORTRANGE(""https://docs.google.com/spreadsheets/d/1w5rwWK1o49a35cNtocGL0gxDwhFSTZUQu90BiH9_zqM/edit?usp=sharing"",""RTK!G86"")"),1000)</f>
        <v>1000</v>
      </c>
      <c r="J386" s="372">
        <f ca="1">IFERROR(__xludf.DUMMYFUNCTION("IMPORTRANGE(""https://docs.google.com/spreadsheets/d/1w5rwWK1o49a35cNtocGL0gxDwhFSTZUQu90BiH9_zqM/edit?usp=sharing"",""RTK!I86"")"),746)</f>
        <v>746</v>
      </c>
      <c r="K386" s="47">
        <f t="shared" ca="1" si="258"/>
        <v>74.599999999999994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IFERROR(__xludf.DUMMYFUNCTION("IMPORTRANGE(""https://docs.google.com/spreadsheets/d/1w5rwWK1o49a35cNtocGL0gxDwhFSTZUQu90BiH9_zqM/edit?usp=sharing"",""RTK!L86"")"),0)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IFERROR(__xludf.DUMMYFUNCTION("IMPORTRANGE(""https://docs.google.com/spreadsheets/d/1w5rwWK1o49a35cNtocGL0gxDwhFSTZUQu90BiH9_zqM/edit?usp=sharing"",""RTK!K86"")"),0)</f>
        <v>0</v>
      </c>
      <c r="J388" s="351">
        <f ca="1">IFERROR(__xludf.DUMMYFUNCTION("IMPORTRANGE(""https://docs.google.com/spreadsheets/d/1w5rwWK1o49a35cNtocGL0gxDwhFSTZUQu90BiH9_zqM/edit?usp=sharing"",""RTK!M86"")"),0)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0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38980</v>
      </c>
      <c r="M413" s="133">
        <f t="shared" ca="1" si="273"/>
        <v>68980</v>
      </c>
      <c r="N413" s="133">
        <f t="shared" ca="1" si="273"/>
        <v>41860</v>
      </c>
      <c r="O413" s="133">
        <f t="shared" ref="O413:O421" ca="1" si="274">IF(L413&gt;0,N413*100/L413,0)</f>
        <v>107.38840430990251</v>
      </c>
      <c r="P413" s="133">
        <f t="shared" ref="P413:P421" ca="1" si="275">IF(M413&gt;0,N413*100/M413,0)</f>
        <v>60.684256306175705</v>
      </c>
      <c r="Q413" s="133">
        <f t="shared" ref="Q413:S413" ca="1" si="276">Q414+Q415</f>
        <v>15770</v>
      </c>
      <c r="R413" s="133">
        <f t="shared" ca="1" si="276"/>
        <v>15770</v>
      </c>
      <c r="S413" s="133">
        <f t="shared" ca="1" si="276"/>
        <v>15770</v>
      </c>
      <c r="T413" s="133">
        <f t="shared" ref="T413:T421" ca="1" si="277">IF(Q413&gt;0,S413*100/Q413,0)</f>
        <v>100</v>
      </c>
      <c r="U413" s="133">
        <f t="shared" ref="U413:U421" ca="1" si="278">IF(R413&gt;0,S413*100/R413,0)</f>
        <v>100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38980</v>
      </c>
      <c r="M415" s="47">
        <f t="shared" ca="1" si="279"/>
        <v>68980</v>
      </c>
      <c r="N415" s="47">
        <f t="shared" ca="1" si="279"/>
        <v>41860</v>
      </c>
      <c r="O415" s="47">
        <f t="shared" ca="1" si="274"/>
        <v>107.38840430990251</v>
      </c>
      <c r="P415" s="47">
        <f t="shared" ca="1" si="275"/>
        <v>60.684256306175705</v>
      </c>
      <c r="Q415" s="47">
        <f t="shared" ca="1" si="280"/>
        <v>15770</v>
      </c>
      <c r="R415" s="47">
        <f t="shared" ca="1" si="280"/>
        <v>15770</v>
      </c>
      <c r="S415" s="47">
        <f t="shared" ca="1" si="280"/>
        <v>15770</v>
      </c>
      <c r="T415" s="47">
        <f t="shared" ca="1" si="277"/>
        <v>100</v>
      </c>
      <c r="U415" s="47">
        <f t="shared" ca="1" si="278"/>
        <v>100</v>
      </c>
    </row>
    <row r="416" spans="1:21" ht="19.5" x14ac:dyDescent="0.3">
      <c r="A416" s="129"/>
      <c r="B416" s="160"/>
      <c r="C416" s="160"/>
      <c r="D416" s="739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588">
        <f t="shared" ref="L416:N416" ca="1" si="281">L417+L418</f>
        <v>38980</v>
      </c>
      <c r="M416" s="47">
        <f t="shared" ca="1" si="281"/>
        <v>68980</v>
      </c>
      <c r="N416" s="47">
        <f t="shared" ca="1" si="281"/>
        <v>41860</v>
      </c>
      <c r="O416" s="47">
        <f t="shared" ca="1" si="274"/>
        <v>107.38840430990251</v>
      </c>
      <c r="P416" s="47">
        <f t="shared" ca="1" si="275"/>
        <v>60.684256306175705</v>
      </c>
      <c r="Q416" s="47">
        <f t="shared" ref="Q416:S416" ca="1" si="282">Q417+Q418</f>
        <v>15770</v>
      </c>
      <c r="R416" s="47">
        <f t="shared" ca="1" si="282"/>
        <v>15770</v>
      </c>
      <c r="S416" s="47">
        <f t="shared" ca="1" si="282"/>
        <v>15770</v>
      </c>
      <c r="T416" s="47">
        <f t="shared" ca="1" si="277"/>
        <v>100</v>
      </c>
      <c r="U416" s="47">
        <f t="shared" ca="1" si="278"/>
        <v>100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IFERROR(__xludf.DUMMYFUNCTION("IMPORTRANGE(""https://docs.google.com/spreadsheets/d/1-uDff_7J0KD5mKrp0Vvzr7lt3OU09vwQwhkpOPPYv2Y/edit?usp=sharing"",""งบพรบ!IT86"")"),68980)</f>
        <v>68980</v>
      </c>
      <c r="N418" s="47">
        <f ca="1">IFERROR(__xludf.DUMMYFUNCTION("IMPORTRANGE(""https://docs.google.com/spreadsheets/d/1-uDff_7J0KD5mKrp0Vvzr7lt3OU09vwQwhkpOPPYv2Y/edit?usp=sharing"",""งบพรบ!IV86"")"),41860)</f>
        <v>41860</v>
      </c>
      <c r="O418" s="47">
        <f t="shared" ca="1" si="274"/>
        <v>107.38840430990251</v>
      </c>
      <c r="P418" s="47">
        <f t="shared" ca="1" si="275"/>
        <v>60.684256306175705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IFERROR(__xludf.DUMMYFUNCTION("IMPORTRANGE(""https://docs.google.com/spreadsheets/d/1ItG2mGa2ceCfYo0BwxsXqNm01IGEUdYcSSLTEv9YCik/edit?usp=sharing"",""เบิกจ่ายกองทุน!CB86"")"),15770)</f>
        <v>15770</v>
      </c>
      <c r="T418" s="47">
        <f t="shared" ca="1" si="277"/>
        <v>100</v>
      </c>
      <c r="U418" s="47">
        <f t="shared" ca="1" si="278"/>
        <v>100</v>
      </c>
    </row>
    <row r="419" spans="1:21" ht="19.5" x14ac:dyDescent="0.3">
      <c r="A419" s="129"/>
      <c r="B419" s="160"/>
      <c r="C419" s="160"/>
      <c r="D419" s="739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5">I440</f>
        <v>0</v>
      </c>
      <c r="J423" s="749">
        <f t="shared" si="285"/>
        <v>0</v>
      </c>
      <c r="K423" s="489">
        <f t="shared" ref="K423:K425" ca="1" si="286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IFERROR(__xludf.DUMMYFUNCTION("IMPORTRANGE(""https://docs.google.com/spreadsheets/d/1eHaY18a8A9IcSdp1K8H6x8fbOy06t2VsZHhMHf-1x7Y/edit?usp=sharing"",""แผน!HJ86"")"),0)</f>
        <v>0</v>
      </c>
      <c r="J424" s="751">
        <f t="shared" ref="J424:J425" si="287">J426+J428+J430</f>
        <v>0</v>
      </c>
      <c r="K424" s="133">
        <f t="shared" ca="1" si="286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IFERROR(__xludf.DUMMYFUNCTION("IMPORTRANGE(""https://docs.google.com/spreadsheets/d/1eHaY18a8A9IcSdp1K8H6x8fbOy06t2VsZHhMHf-1x7Y/edit?usp=sharing"",""แผน!HK86"")"),0)</f>
        <v>0</v>
      </c>
      <c r="J425" s="751">
        <f t="shared" si="287"/>
        <v>0</v>
      </c>
      <c r="K425" s="133">
        <f t="shared" ca="1" si="286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IFERROR(__xludf.DUMMYFUNCTION("IMPORTRANGE(""https://docs.google.com/spreadsheets/d/1eHaY18a8A9IcSdp1K8H6x8fbOy06t2VsZHhMHf-1x7Y/edit?usp=sharing"",""แผน!HJ86"")"),0)</f>
        <v>0</v>
      </c>
      <c r="J432" s="751">
        <f t="shared" ref="J432:J433" si="288">J434+J436+J438</f>
        <v>0</v>
      </c>
      <c r="K432" s="133">
        <f t="shared" ref="K432:K433" ca="1" si="289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IFERROR(__xludf.DUMMYFUNCTION("IMPORTRANGE(""https://docs.google.com/spreadsheets/d/1eHaY18a8A9IcSdp1K8H6x8fbOy06t2VsZHhMHf-1x7Y/edit?usp=sharing"",""แผน!HK86"")"),0)</f>
        <v>0</v>
      </c>
      <c r="J433" s="751">
        <f t="shared" si="288"/>
        <v>0</v>
      </c>
      <c r="K433" s="133">
        <f t="shared" ca="1" si="289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IFERROR(__xludf.DUMMYFUNCTION("IMPORTRANGE(""https://docs.google.com/spreadsheets/d/1eHaY18a8A9IcSdp1K8H6x8fbOy06t2VsZHhMHf-1x7Y/edit?usp=sharing"",""แผน!HJ86"")"),0)</f>
        <v>0</v>
      </c>
      <c r="J440" s="751">
        <f t="shared" ref="J440:J441" si="290">J442+J444+J446+J452+J454</f>
        <v>0</v>
      </c>
      <c r="K440" s="133">
        <f t="shared" ref="K440:K441" ca="1" si="291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IFERROR(__xludf.DUMMYFUNCTION("IMPORTRANGE(""https://docs.google.com/spreadsheets/d/1eHaY18a8A9IcSdp1K8H6x8fbOy06t2VsZHhMHf-1x7Y/edit?usp=sharing"",""แผน!HK86"")"),0)</f>
        <v>0</v>
      </c>
      <c r="J441" s="751">
        <f t="shared" si="290"/>
        <v>0</v>
      </c>
      <c r="K441" s="133">
        <f t="shared" ca="1" si="291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2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2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3">I457</f>
        <v>836.77</v>
      </c>
      <c r="J456" s="754">
        <f t="shared" si="293"/>
        <v>0</v>
      </c>
      <c r="K456" s="489">
        <f t="shared" ref="K456:K458" ca="1" si="294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IFERROR(__xludf.DUMMYFUNCTION("IMPORTRANGE(""https://docs.google.com/spreadsheets/d/1eHaY18a8A9IcSdp1K8H6x8fbOy06t2VsZHhMHf-1x7Y/edit?usp=sharing"",""แผน!HL86"")"),836.77)</f>
        <v>836.77</v>
      </c>
      <c r="J457" s="751">
        <f t="shared" ref="J457:J458" si="295">J459+J467+J473</f>
        <v>0</v>
      </c>
      <c r="K457" s="133">
        <f t="shared" ca="1" si="294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IFERROR(__xludf.DUMMYFUNCTION("IMPORTRANGE(""https://docs.google.com/spreadsheets/d/1eHaY18a8A9IcSdp1K8H6x8fbOy06t2VsZHhMHf-1x7Y/edit?usp=sharing"",""แผน!HM86"")"),108)</f>
        <v>108</v>
      </c>
      <c r="J458" s="751">
        <f t="shared" si="295"/>
        <v>0</v>
      </c>
      <c r="K458" s="133">
        <f t="shared" ca="1" si="294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6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6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7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7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8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9">J478+J480</f>
        <v>0</v>
      </c>
      <c r="K476" s="764">
        <f t="shared" si="298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9"/>
        <v>0</v>
      </c>
      <c r="K477" s="764">
        <f t="shared" si="298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300">J480</f>
        <v>0</v>
      </c>
      <c r="J484" s="763">
        <f t="shared" ref="J484:J485" si="301">J486+J488+J490</f>
        <v>0</v>
      </c>
      <c r="K484" s="764">
        <f t="shared" ref="K484:K485" si="302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300"/>
        <v>0</v>
      </c>
      <c r="J485" s="763">
        <f t="shared" si="301"/>
        <v>0</v>
      </c>
      <c r="K485" s="764">
        <f t="shared" si="302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3">I503</f>
        <v>30</v>
      </c>
      <c r="J492" s="321">
        <f t="shared" si="303"/>
        <v>30</v>
      </c>
      <c r="K492" s="322">
        <f ca="1">IF(I492&gt;0,J492*100/I492,0)</f>
        <v>100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x14ac:dyDescent="0.3">
      <c r="A493" s="129"/>
      <c r="B493" s="160"/>
      <c r="C493" s="409" t="s">
        <v>18</v>
      </c>
      <c r="D493" s="770" t="s">
        <v>19</v>
      </c>
      <c r="E493" s="552"/>
      <c r="F493" s="552"/>
      <c r="G493" s="553"/>
      <c r="H493" s="240" t="s">
        <v>14</v>
      </c>
      <c r="I493" s="45"/>
      <c r="J493" s="45"/>
      <c r="K493" s="46"/>
      <c r="L493" s="617">
        <f t="shared" ref="L493:N493" ca="1" si="304">L494+L495</f>
        <v>24100</v>
      </c>
      <c r="M493" s="133">
        <f t="shared" ca="1" si="304"/>
        <v>24100</v>
      </c>
      <c r="N493" s="133">
        <f t="shared" ca="1" si="304"/>
        <v>22740</v>
      </c>
      <c r="O493" s="133">
        <f t="shared" ref="O493:O501" ca="1" si="305">IF(L493&gt;0,N493*100/L493,0)</f>
        <v>94.356846473029051</v>
      </c>
      <c r="P493" s="133">
        <f t="shared" ref="P493:P501" ca="1" si="306">IF(M493&gt;0,N493*100/M493,0)</f>
        <v>94.356846473029051</v>
      </c>
      <c r="Q493" s="133">
        <f t="shared" ref="Q493:S493" ca="1" si="307">Q494+Q495</f>
        <v>460185</v>
      </c>
      <c r="R493" s="133">
        <f t="shared" ca="1" si="307"/>
        <v>454665</v>
      </c>
      <c r="S493" s="133">
        <f t="shared" ca="1" si="307"/>
        <v>441665</v>
      </c>
      <c r="T493" s="133">
        <f t="shared" ref="T493:T501" ca="1" si="308">IF(Q493&gt;0,S493*100/Q493,0)</f>
        <v>95.975531579690781</v>
      </c>
      <c r="U493" s="133">
        <f t="shared" ref="U493:U501" ca="1" si="309">IF(R493&gt;0,S493*100/R493,0)</f>
        <v>97.140751982228679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10">L497+L500</f>
        <v>0</v>
      </c>
      <c r="M494" s="49">
        <f t="shared" si="310"/>
        <v>0</v>
      </c>
      <c r="N494" s="49">
        <f t="shared" si="310"/>
        <v>0</v>
      </c>
      <c r="O494" s="49">
        <f t="shared" si="305"/>
        <v>0</v>
      </c>
      <c r="P494" s="49">
        <f t="shared" si="306"/>
        <v>0</v>
      </c>
      <c r="Q494" s="49">
        <f t="shared" ref="Q494:S495" si="311">Q497+Q500</f>
        <v>0</v>
      </c>
      <c r="R494" s="49">
        <f t="shared" si="311"/>
        <v>0</v>
      </c>
      <c r="S494" s="49">
        <f t="shared" si="311"/>
        <v>0</v>
      </c>
      <c r="T494" s="49">
        <f t="shared" si="308"/>
        <v>0</v>
      </c>
      <c r="U494" s="49">
        <f t="shared" si="309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10"/>
        <v>24100</v>
      </c>
      <c r="M495" s="47">
        <f t="shared" ca="1" si="310"/>
        <v>24100</v>
      </c>
      <c r="N495" s="47">
        <f t="shared" ca="1" si="310"/>
        <v>22740</v>
      </c>
      <c r="O495" s="47">
        <f t="shared" ca="1" si="305"/>
        <v>94.356846473029051</v>
      </c>
      <c r="P495" s="47">
        <f t="shared" ca="1" si="306"/>
        <v>94.356846473029051</v>
      </c>
      <c r="Q495" s="47">
        <f t="shared" ca="1" si="311"/>
        <v>460185</v>
      </c>
      <c r="R495" s="47">
        <f t="shared" ca="1" si="311"/>
        <v>454665</v>
      </c>
      <c r="S495" s="47">
        <f t="shared" ca="1" si="311"/>
        <v>441665</v>
      </c>
      <c r="T495" s="47">
        <f t="shared" ca="1" si="308"/>
        <v>95.975531579690781</v>
      </c>
      <c r="U495" s="47">
        <f t="shared" ca="1" si="309"/>
        <v>97.140751982228679</v>
      </c>
    </row>
    <row r="496" spans="1:21" ht="18.75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2">L497+L498</f>
        <v>24100</v>
      </c>
      <c r="M496" s="47">
        <f t="shared" ca="1" si="312"/>
        <v>24100</v>
      </c>
      <c r="N496" s="47">
        <f t="shared" ca="1" si="312"/>
        <v>22740</v>
      </c>
      <c r="O496" s="47">
        <f t="shared" ca="1" si="305"/>
        <v>94.356846473029051</v>
      </c>
      <c r="P496" s="47">
        <f t="shared" ca="1" si="306"/>
        <v>94.356846473029051</v>
      </c>
      <c r="Q496" s="47">
        <f t="shared" ref="Q496:S496" ca="1" si="313">Q497+Q498</f>
        <v>460185</v>
      </c>
      <c r="R496" s="47">
        <f t="shared" ca="1" si="313"/>
        <v>454665</v>
      </c>
      <c r="S496" s="47">
        <f t="shared" ca="1" si="313"/>
        <v>441665</v>
      </c>
      <c r="T496" s="47">
        <f t="shared" ca="1" si="308"/>
        <v>95.975531579690781</v>
      </c>
      <c r="U496" s="47">
        <f t="shared" ca="1" si="309"/>
        <v>97.140751982228679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5"/>
        <v>0</v>
      </c>
      <c r="P497" s="49">
        <f t="shared" si="306"/>
        <v>0</v>
      </c>
      <c r="Q497" s="49">
        <v>0</v>
      </c>
      <c r="R497" s="49">
        <v>0</v>
      </c>
      <c r="S497" s="49">
        <v>0</v>
      </c>
      <c r="T497" s="49">
        <f t="shared" si="308"/>
        <v>0</v>
      </c>
      <c r="U497" s="49">
        <f t="shared" si="309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IFERROR(__xludf.DUMMYFUNCTION("IMPORTRANGE(""https://docs.google.com/spreadsheets/d/1-uDff_7J0KD5mKrp0Vvzr7lt3OU09vwQwhkpOPPYv2Y/edit?usp=sharing"",""งบพรบ!HZ86"")"),24100)</f>
        <v>24100</v>
      </c>
      <c r="N498" s="47">
        <f ca="1">IFERROR(__xludf.DUMMYFUNCTION("IMPORTRANGE(""https://docs.google.com/spreadsheets/d/1-uDff_7J0KD5mKrp0Vvzr7lt3OU09vwQwhkpOPPYv2Y/edit?usp=sharing"",""งบพรบ!IB86"")"),22740)</f>
        <v>22740</v>
      </c>
      <c r="O498" s="47">
        <f t="shared" ca="1" si="305"/>
        <v>94.356846473029051</v>
      </c>
      <c r="P498" s="47">
        <f t="shared" ca="1" si="306"/>
        <v>94.356846473029051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IFERROR(__xludf.DUMMYFUNCTION("IMPORTRANGE(""https://docs.google.com/spreadsheets/d/1ItG2mGa2ceCfYo0BwxsXqNm01IGEUdYcSSLTEv9YCik/edit?usp=sharing"",""เบิกจ่ายกองทุน!AE86"")"),454665)</f>
        <v>454665</v>
      </c>
      <c r="S498" s="47">
        <f ca="1">IFERROR(__xludf.DUMMYFUNCTION("IMPORTRANGE(""https://docs.google.com/spreadsheets/d/1ItG2mGa2ceCfYo0BwxsXqNm01IGEUdYcSSLTEv9YCik/edit?usp=sharing"",""เบิกจ่ายกองทุน!AF86"")"),441665)</f>
        <v>441665</v>
      </c>
      <c r="T498" s="47">
        <f t="shared" ca="1" si="308"/>
        <v>95.975531579690781</v>
      </c>
      <c r="U498" s="47">
        <f t="shared" ca="1" si="309"/>
        <v>97.140751982228679</v>
      </c>
    </row>
    <row r="499" spans="1:21" ht="18.75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4">L500+L501</f>
        <v>0</v>
      </c>
      <c r="M499" s="47">
        <f t="shared" ca="1" si="314"/>
        <v>0</v>
      </c>
      <c r="N499" s="47">
        <f t="shared" ca="1" si="314"/>
        <v>0</v>
      </c>
      <c r="O499" s="47">
        <f t="shared" ca="1" si="305"/>
        <v>0</v>
      </c>
      <c r="P499" s="47">
        <f t="shared" ca="1" si="306"/>
        <v>0</v>
      </c>
      <c r="Q499" s="47">
        <f t="shared" ref="Q499:S499" si="315">Q500+Q501</f>
        <v>0</v>
      </c>
      <c r="R499" s="47">
        <f t="shared" si="315"/>
        <v>0</v>
      </c>
      <c r="S499" s="47">
        <f t="shared" si="315"/>
        <v>0</v>
      </c>
      <c r="T499" s="47">
        <f t="shared" si="308"/>
        <v>0</v>
      </c>
      <c r="U499" s="47">
        <f t="shared" si="309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5"/>
        <v>0</v>
      </c>
      <c r="P500" s="49">
        <f t="shared" si="306"/>
        <v>0</v>
      </c>
      <c r="Q500" s="49">
        <v>0</v>
      </c>
      <c r="R500" s="49">
        <v>0</v>
      </c>
      <c r="S500" s="49">
        <v>0</v>
      </c>
      <c r="T500" s="49">
        <f t="shared" si="308"/>
        <v>0</v>
      </c>
      <c r="U500" s="49">
        <f t="shared" si="309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t="shared" ca="1" si="305"/>
        <v>0</v>
      </c>
      <c r="P501" s="47">
        <f t="shared" ca="1" si="306"/>
        <v>0</v>
      </c>
      <c r="Q501" s="47">
        <v>0</v>
      </c>
      <c r="R501" s="47">
        <v>0</v>
      </c>
      <c r="S501" s="47">
        <v>0</v>
      </c>
      <c r="T501" s="47">
        <f t="shared" si="308"/>
        <v>0</v>
      </c>
      <c r="U501" s="47">
        <f t="shared" si="309"/>
        <v>0</v>
      </c>
    </row>
    <row r="502" spans="1:21" ht="19.5" x14ac:dyDescent="0.3">
      <c r="A502" s="139"/>
      <c r="B502" s="140"/>
      <c r="C502" s="409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IFERROR(__xludf.DUMMYFUNCTION("IMPORTRANGE(""https://docs.google.com/spreadsheets/d/1eHaY18a8A9IcSdp1K8H6x8fbOy06t2VsZHhMHf-1x7Y/edit?usp=sharing"",""แผน!GX86"")"),30)</f>
        <v>30</v>
      </c>
      <c r="J503" s="371">
        <f>J504</f>
        <v>30</v>
      </c>
      <c r="K503" s="133">
        <f t="shared" ref="K503:K509" ca="1" si="316">IF(I503&gt;0,J503*100/I503,0)</f>
        <v>100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IFERROR(__xludf.DUMMYFUNCTION("IMPORTRANGE(""https://docs.google.com/spreadsheets/d/1eHaY18a8A9IcSdp1K8H6x8fbOy06t2VsZHhMHf-1x7Y/edit?usp=sharing"",""แผน!GY86"")"),30)</f>
        <v>30</v>
      </c>
      <c r="J504" s="169">
        <v>30</v>
      </c>
      <c r="K504" s="47">
        <f t="shared" ca="1" si="316"/>
        <v>100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IFERROR(__xludf.DUMMYFUNCTION("IMPORTRANGE(""https://docs.google.com/spreadsheets/d/1eHaY18a8A9IcSdp1K8H6x8fbOy06t2VsZHhMHf-1x7Y/edit?usp=sharing"",""แผน!GZ86"")"),30)</f>
        <v>30</v>
      </c>
      <c r="J505" s="169">
        <v>29</v>
      </c>
      <c r="K505" s="47">
        <f t="shared" ca="1" si="316"/>
        <v>96.666666666666671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IFERROR(__xludf.DUMMYFUNCTION("IMPORTRANGE(""https://docs.google.com/spreadsheets/d/1eHaY18a8A9IcSdp1K8H6x8fbOy06t2VsZHhMHf-1x7Y/edit?usp=sharing"",""แผน!HA86"")"),30)</f>
        <v>30</v>
      </c>
      <c r="J506" s="169">
        <v>30</v>
      </c>
      <c r="K506" s="47">
        <f t="shared" ca="1" si="316"/>
        <v>100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IFERROR(__xludf.DUMMYFUNCTION("IMPORTRANGE(""https://docs.google.com/spreadsheets/d/1eHaY18a8A9IcSdp1K8H6x8fbOy06t2VsZHhMHf-1x7Y/edit?usp=sharing"",""แผน!HB86"")"),10)</f>
        <v>10</v>
      </c>
      <c r="J507" s="169">
        <v>10</v>
      </c>
      <c r="K507" s="47">
        <f t="shared" ca="1" si="316"/>
        <v>100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6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IFERROR(__xludf.DUMMYFUNCTION("IMPORTRANGE(""https://docs.google.com/spreadsheets/d/1eHaY18a8A9IcSdp1K8H6x8fbOy06t2VsZHhMHf-1x7Y/edit?usp=sharing"",""แผน!HC86"")"),0)</f>
        <v>0</v>
      </c>
      <c r="J509" s="378">
        <v>30</v>
      </c>
      <c r="K509" s="111">
        <f t="shared" ca="1" si="316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7">I524</f>
        <v>0</v>
      </c>
      <c r="J512" s="855">
        <f t="shared" si="317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8">L514+L515</f>
        <v>0</v>
      </c>
      <c r="M513" s="133">
        <f t="shared" ca="1" si="318"/>
        <v>0</v>
      </c>
      <c r="N513" s="133">
        <f t="shared" ca="1" si="318"/>
        <v>0</v>
      </c>
      <c r="O513" s="133">
        <f t="shared" ref="O513:O521" ca="1" si="319">IF(L513&gt;0,N513*100/L513,0)</f>
        <v>0</v>
      </c>
      <c r="P513" s="133">
        <f t="shared" ref="P513:P521" ca="1" si="320">IF(M513&gt;0,N513*100/M513,0)</f>
        <v>0</v>
      </c>
      <c r="Q513" s="133">
        <f t="shared" ref="Q513:S513" si="321">Q514+Q515</f>
        <v>0</v>
      </c>
      <c r="R513" s="133">
        <f t="shared" si="321"/>
        <v>0</v>
      </c>
      <c r="S513" s="133">
        <f t="shared" si="321"/>
        <v>0</v>
      </c>
      <c r="T513" s="133">
        <f t="shared" ref="T513:T521" si="322">IF(Q513&gt;0,S513*100/Q513,0)</f>
        <v>0</v>
      </c>
      <c r="U513" s="133">
        <f t="shared" ref="U513:U521" si="323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4">L517+L520</f>
        <v>0</v>
      </c>
      <c r="M514" s="49">
        <f t="shared" si="324"/>
        <v>0</v>
      </c>
      <c r="N514" s="49">
        <f t="shared" si="324"/>
        <v>0</v>
      </c>
      <c r="O514" s="49">
        <f t="shared" si="319"/>
        <v>0</v>
      </c>
      <c r="P514" s="49">
        <f t="shared" si="320"/>
        <v>0</v>
      </c>
      <c r="Q514" s="49">
        <f t="shared" ref="Q514:S515" si="325">Q517+Q520</f>
        <v>0</v>
      </c>
      <c r="R514" s="49">
        <f t="shared" si="325"/>
        <v>0</v>
      </c>
      <c r="S514" s="49">
        <f t="shared" si="325"/>
        <v>0</v>
      </c>
      <c r="T514" s="49">
        <f t="shared" si="322"/>
        <v>0</v>
      </c>
      <c r="U514" s="49">
        <f t="shared" si="323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4"/>
        <v>0</v>
      </c>
      <c r="M515" s="47">
        <f t="shared" ca="1" si="324"/>
        <v>0</v>
      </c>
      <c r="N515" s="47">
        <f t="shared" ca="1" si="324"/>
        <v>0</v>
      </c>
      <c r="O515" s="47">
        <f t="shared" ca="1" si="319"/>
        <v>0</v>
      </c>
      <c r="P515" s="47">
        <f t="shared" ca="1" si="320"/>
        <v>0</v>
      </c>
      <c r="Q515" s="47">
        <f t="shared" si="325"/>
        <v>0</v>
      </c>
      <c r="R515" s="47">
        <f t="shared" si="325"/>
        <v>0</v>
      </c>
      <c r="S515" s="47">
        <f t="shared" si="325"/>
        <v>0</v>
      </c>
      <c r="T515" s="47">
        <f t="shared" si="322"/>
        <v>0</v>
      </c>
      <c r="U515" s="47">
        <f t="shared" si="323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6">L517+L518</f>
        <v>0</v>
      </c>
      <c r="M516" s="47">
        <f t="shared" ca="1" si="326"/>
        <v>0</v>
      </c>
      <c r="N516" s="47">
        <f t="shared" ca="1" si="326"/>
        <v>0</v>
      </c>
      <c r="O516" s="47">
        <f t="shared" ca="1" si="319"/>
        <v>0</v>
      </c>
      <c r="P516" s="47">
        <f t="shared" ca="1" si="320"/>
        <v>0</v>
      </c>
      <c r="Q516" s="47">
        <f t="shared" ref="Q516:S516" si="327">Q517+Q518</f>
        <v>0</v>
      </c>
      <c r="R516" s="47">
        <f t="shared" si="327"/>
        <v>0</v>
      </c>
      <c r="S516" s="47">
        <f t="shared" si="327"/>
        <v>0</v>
      </c>
      <c r="T516" s="47">
        <f t="shared" si="322"/>
        <v>0</v>
      </c>
      <c r="U516" s="47">
        <f t="shared" si="323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9"/>
        <v>0</v>
      </c>
      <c r="P517" s="49">
        <f t="shared" si="320"/>
        <v>0</v>
      </c>
      <c r="Q517" s="49">
        <v>0</v>
      </c>
      <c r="R517" s="49">
        <v>0</v>
      </c>
      <c r="S517" s="49">
        <v>0</v>
      </c>
      <c r="T517" s="49">
        <f t="shared" si="322"/>
        <v>0</v>
      </c>
      <c r="U517" s="49">
        <f t="shared" si="323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t="shared" ca="1" si="319"/>
        <v>0</v>
      </c>
      <c r="P518" s="47">
        <f t="shared" ca="1" si="320"/>
        <v>0</v>
      </c>
      <c r="Q518" s="47">
        <v>0</v>
      </c>
      <c r="R518" s="47">
        <v>0</v>
      </c>
      <c r="S518" s="47">
        <v>0</v>
      </c>
      <c r="T518" s="47">
        <f t="shared" si="322"/>
        <v>0</v>
      </c>
      <c r="U518" s="47">
        <f t="shared" si="323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8">L520+L521</f>
        <v>0</v>
      </c>
      <c r="M519" s="47">
        <f t="shared" ca="1" si="328"/>
        <v>0</v>
      </c>
      <c r="N519" s="47">
        <f t="shared" ca="1" si="328"/>
        <v>0</v>
      </c>
      <c r="O519" s="47">
        <f t="shared" ca="1" si="319"/>
        <v>0</v>
      </c>
      <c r="P519" s="47">
        <f t="shared" ca="1" si="320"/>
        <v>0</v>
      </c>
      <c r="Q519" s="47">
        <f t="shared" ref="Q519:S519" si="329">Q520+Q521</f>
        <v>0</v>
      </c>
      <c r="R519" s="47">
        <f t="shared" si="329"/>
        <v>0</v>
      </c>
      <c r="S519" s="47">
        <f t="shared" si="329"/>
        <v>0</v>
      </c>
      <c r="T519" s="47">
        <f t="shared" si="322"/>
        <v>0</v>
      </c>
      <c r="U519" s="47">
        <f t="shared" si="323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9"/>
        <v>0</v>
      </c>
      <c r="P520" s="49">
        <f t="shared" si="320"/>
        <v>0</v>
      </c>
      <c r="Q520" s="49">
        <v>0</v>
      </c>
      <c r="R520" s="49">
        <v>0</v>
      </c>
      <c r="S520" s="49">
        <v>0</v>
      </c>
      <c r="T520" s="49">
        <f t="shared" si="322"/>
        <v>0</v>
      </c>
      <c r="U520" s="49">
        <f t="shared" si="323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t="shared" ca="1" si="319"/>
        <v>0</v>
      </c>
      <c r="P521" s="47">
        <f t="shared" ca="1" si="320"/>
        <v>0</v>
      </c>
      <c r="Q521" s="47">
        <v>0</v>
      </c>
      <c r="R521" s="47">
        <v>0</v>
      </c>
      <c r="S521" s="47">
        <v>0</v>
      </c>
      <c r="T521" s="47">
        <f t="shared" si="322"/>
        <v>0</v>
      </c>
      <c r="U521" s="47">
        <f t="shared" si="323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30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30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1">I545</f>
        <v>0</v>
      </c>
      <c r="J533" s="818">
        <f t="shared" si="331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2">L535+L536</f>
        <v>0</v>
      </c>
      <c r="M534" s="133">
        <f t="shared" ca="1" si="332"/>
        <v>0</v>
      </c>
      <c r="N534" s="133">
        <f t="shared" ca="1" si="332"/>
        <v>0</v>
      </c>
      <c r="O534" s="133">
        <f t="shared" ref="O534:O542" ca="1" si="333">IF(L534&gt;0,N534*100/L534,0)</f>
        <v>0</v>
      </c>
      <c r="P534" s="133">
        <f t="shared" ref="P534:P542" ca="1" si="334">IF(M534&gt;0,N534*100/M534,0)</f>
        <v>0</v>
      </c>
      <c r="Q534" s="133">
        <f t="shared" ref="Q534:S534" si="335">Q535+Q536</f>
        <v>0</v>
      </c>
      <c r="R534" s="133">
        <f t="shared" si="335"/>
        <v>0</v>
      </c>
      <c r="S534" s="133">
        <f t="shared" si="335"/>
        <v>0</v>
      </c>
      <c r="T534" s="133">
        <f t="shared" ref="T534:T542" si="336">IF(Q534&gt;0,S534*100/Q534,0)</f>
        <v>0</v>
      </c>
      <c r="U534" s="133">
        <f t="shared" ref="U534:U542" si="337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8">L538+L541</f>
        <v>0</v>
      </c>
      <c r="M535" s="49">
        <f t="shared" si="338"/>
        <v>0</v>
      </c>
      <c r="N535" s="49">
        <f t="shared" si="338"/>
        <v>0</v>
      </c>
      <c r="O535" s="49">
        <f t="shared" si="333"/>
        <v>0</v>
      </c>
      <c r="P535" s="49">
        <f t="shared" si="334"/>
        <v>0</v>
      </c>
      <c r="Q535" s="49">
        <f t="shared" ref="Q535:S536" si="339">Q538+Q541</f>
        <v>0</v>
      </c>
      <c r="R535" s="49">
        <f t="shared" si="339"/>
        <v>0</v>
      </c>
      <c r="S535" s="49">
        <f t="shared" si="339"/>
        <v>0</v>
      </c>
      <c r="T535" s="49">
        <f t="shared" si="336"/>
        <v>0</v>
      </c>
      <c r="U535" s="49">
        <f t="shared" si="337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8"/>
        <v>0</v>
      </c>
      <c r="M536" s="47">
        <f t="shared" ca="1" si="338"/>
        <v>0</v>
      </c>
      <c r="N536" s="47">
        <f t="shared" ca="1" si="338"/>
        <v>0</v>
      </c>
      <c r="O536" s="47">
        <f t="shared" ca="1" si="333"/>
        <v>0</v>
      </c>
      <c r="P536" s="47">
        <f t="shared" ca="1" si="334"/>
        <v>0</v>
      </c>
      <c r="Q536" s="47">
        <f t="shared" si="339"/>
        <v>0</v>
      </c>
      <c r="R536" s="47">
        <f t="shared" si="339"/>
        <v>0</v>
      </c>
      <c r="S536" s="47">
        <f t="shared" si="339"/>
        <v>0</v>
      </c>
      <c r="T536" s="47">
        <f t="shared" si="336"/>
        <v>0</v>
      </c>
      <c r="U536" s="47">
        <f t="shared" si="337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40">L538+L539</f>
        <v>0</v>
      </c>
      <c r="M537" s="47">
        <f t="shared" ca="1" si="340"/>
        <v>0</v>
      </c>
      <c r="N537" s="47">
        <f t="shared" ca="1" si="340"/>
        <v>0</v>
      </c>
      <c r="O537" s="47">
        <f t="shared" ca="1" si="333"/>
        <v>0</v>
      </c>
      <c r="P537" s="47">
        <f t="shared" ca="1" si="334"/>
        <v>0</v>
      </c>
      <c r="Q537" s="47">
        <f t="shared" ref="Q537:S537" si="341">Q538+Q539</f>
        <v>0</v>
      </c>
      <c r="R537" s="47">
        <f t="shared" si="341"/>
        <v>0</v>
      </c>
      <c r="S537" s="47">
        <f t="shared" si="341"/>
        <v>0</v>
      </c>
      <c r="T537" s="47">
        <f t="shared" si="336"/>
        <v>0</v>
      </c>
      <c r="U537" s="47">
        <f t="shared" si="337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3"/>
        <v>0</v>
      </c>
      <c r="P538" s="49">
        <f t="shared" si="334"/>
        <v>0</v>
      </c>
      <c r="Q538" s="49">
        <v>0</v>
      </c>
      <c r="R538" s="49">
        <v>0</v>
      </c>
      <c r="S538" s="49">
        <v>0</v>
      </c>
      <c r="T538" s="49">
        <f t="shared" si="336"/>
        <v>0</v>
      </c>
      <c r="U538" s="49">
        <f t="shared" si="337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t="shared" ca="1" si="333"/>
        <v>0</v>
      </c>
      <c r="P539" s="47">
        <f t="shared" ca="1" si="334"/>
        <v>0</v>
      </c>
      <c r="Q539" s="47">
        <v>0</v>
      </c>
      <c r="R539" s="47">
        <v>0</v>
      </c>
      <c r="S539" s="47">
        <v>0</v>
      </c>
      <c r="T539" s="47">
        <f t="shared" si="336"/>
        <v>0</v>
      </c>
      <c r="U539" s="47">
        <f t="shared" si="337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2">L541+L542</f>
        <v>0</v>
      </c>
      <c r="M540" s="47">
        <f t="shared" ca="1" si="342"/>
        <v>0</v>
      </c>
      <c r="N540" s="47">
        <f t="shared" ca="1" si="342"/>
        <v>0</v>
      </c>
      <c r="O540" s="47">
        <f t="shared" ca="1" si="333"/>
        <v>0</v>
      </c>
      <c r="P540" s="47">
        <f t="shared" ca="1" si="334"/>
        <v>0</v>
      </c>
      <c r="Q540" s="47">
        <f t="shared" ref="Q540:S540" si="343">Q541+Q542</f>
        <v>0</v>
      </c>
      <c r="R540" s="47">
        <f t="shared" si="343"/>
        <v>0</v>
      </c>
      <c r="S540" s="47">
        <f t="shared" si="343"/>
        <v>0</v>
      </c>
      <c r="T540" s="47">
        <f t="shared" si="336"/>
        <v>0</v>
      </c>
      <c r="U540" s="47">
        <f t="shared" si="337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3"/>
        <v>0</v>
      </c>
      <c r="P541" s="49">
        <f t="shared" si="334"/>
        <v>0</v>
      </c>
      <c r="Q541" s="49">
        <v>0</v>
      </c>
      <c r="R541" s="49">
        <v>0</v>
      </c>
      <c r="S541" s="49">
        <v>0</v>
      </c>
      <c r="T541" s="49">
        <f t="shared" si="336"/>
        <v>0</v>
      </c>
      <c r="U541" s="49">
        <f t="shared" si="337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t="shared" ca="1" si="333"/>
        <v>0</v>
      </c>
      <c r="P542" s="47">
        <f t="shared" ca="1" si="334"/>
        <v>0</v>
      </c>
      <c r="Q542" s="47">
        <v>0</v>
      </c>
      <c r="R542" s="47">
        <v>0</v>
      </c>
      <c r="S542" s="47">
        <v>0</v>
      </c>
      <c r="T542" s="47">
        <f t="shared" si="336"/>
        <v>0</v>
      </c>
      <c r="U542" s="47">
        <f t="shared" si="337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4">I566</f>
        <v>0</v>
      </c>
      <c r="J554" s="818">
        <f t="shared" si="344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5">L556+L557</f>
        <v>0</v>
      </c>
      <c r="M555" s="133">
        <f t="shared" ca="1" si="345"/>
        <v>0</v>
      </c>
      <c r="N555" s="133">
        <f t="shared" ca="1" si="345"/>
        <v>0</v>
      </c>
      <c r="O555" s="133">
        <f t="shared" ref="O555:O563" ca="1" si="346">IF(L555&gt;0,N555*100/L555,0)</f>
        <v>0</v>
      </c>
      <c r="P555" s="133">
        <f t="shared" ref="P555:P563" ca="1" si="347">IF(M555&gt;0,N555*100/M555,0)</f>
        <v>0</v>
      </c>
      <c r="Q555" s="133">
        <f t="shared" ref="Q555:S555" si="348">Q556+Q557</f>
        <v>0</v>
      </c>
      <c r="R555" s="133">
        <f t="shared" si="348"/>
        <v>0</v>
      </c>
      <c r="S555" s="133">
        <f t="shared" si="348"/>
        <v>0</v>
      </c>
      <c r="T555" s="133">
        <f t="shared" ref="T555:T563" si="349">IF(Q555&gt;0,S555*100/Q555,0)</f>
        <v>0</v>
      </c>
      <c r="U555" s="133">
        <f t="shared" ref="U555:U563" si="350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1">L559+L562</f>
        <v>0</v>
      </c>
      <c r="M556" s="49">
        <f t="shared" si="351"/>
        <v>0</v>
      </c>
      <c r="N556" s="49">
        <f t="shared" si="351"/>
        <v>0</v>
      </c>
      <c r="O556" s="49">
        <f t="shared" si="346"/>
        <v>0</v>
      </c>
      <c r="P556" s="49">
        <f t="shared" si="347"/>
        <v>0</v>
      </c>
      <c r="Q556" s="49">
        <f t="shared" ref="Q556:S557" si="352">Q559+Q562</f>
        <v>0</v>
      </c>
      <c r="R556" s="49">
        <f t="shared" si="352"/>
        <v>0</v>
      </c>
      <c r="S556" s="49">
        <f t="shared" si="352"/>
        <v>0</v>
      </c>
      <c r="T556" s="49">
        <f t="shared" si="349"/>
        <v>0</v>
      </c>
      <c r="U556" s="49">
        <f t="shared" si="350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1"/>
        <v>0</v>
      </c>
      <c r="M557" s="47">
        <f t="shared" ca="1" si="351"/>
        <v>0</v>
      </c>
      <c r="N557" s="47">
        <f t="shared" ca="1" si="351"/>
        <v>0</v>
      </c>
      <c r="O557" s="47">
        <f t="shared" ca="1" si="346"/>
        <v>0</v>
      </c>
      <c r="P557" s="47">
        <f t="shared" ca="1" si="347"/>
        <v>0</v>
      </c>
      <c r="Q557" s="47">
        <f t="shared" si="352"/>
        <v>0</v>
      </c>
      <c r="R557" s="47">
        <f t="shared" si="352"/>
        <v>0</v>
      </c>
      <c r="S557" s="47">
        <f t="shared" si="352"/>
        <v>0</v>
      </c>
      <c r="T557" s="47">
        <f t="shared" si="349"/>
        <v>0</v>
      </c>
      <c r="U557" s="47">
        <f t="shared" si="350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3">L559+L560</f>
        <v>0</v>
      </c>
      <c r="M558" s="47">
        <f t="shared" ca="1" si="353"/>
        <v>0</v>
      </c>
      <c r="N558" s="47">
        <f t="shared" ca="1" si="353"/>
        <v>0</v>
      </c>
      <c r="O558" s="47">
        <f t="shared" ca="1" si="346"/>
        <v>0</v>
      </c>
      <c r="P558" s="47">
        <f t="shared" ca="1" si="347"/>
        <v>0</v>
      </c>
      <c r="Q558" s="47">
        <f t="shared" ref="Q558:S558" si="354">Q559+Q560</f>
        <v>0</v>
      </c>
      <c r="R558" s="47">
        <f t="shared" si="354"/>
        <v>0</v>
      </c>
      <c r="S558" s="47">
        <f t="shared" si="354"/>
        <v>0</v>
      </c>
      <c r="T558" s="47">
        <f t="shared" si="349"/>
        <v>0</v>
      </c>
      <c r="U558" s="47">
        <f t="shared" si="350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6"/>
        <v>0</v>
      </c>
      <c r="P559" s="49">
        <f t="shared" si="347"/>
        <v>0</v>
      </c>
      <c r="Q559" s="49">
        <v>0</v>
      </c>
      <c r="R559" s="49">
        <v>0</v>
      </c>
      <c r="S559" s="49">
        <v>0</v>
      </c>
      <c r="T559" s="49">
        <f t="shared" si="349"/>
        <v>0</v>
      </c>
      <c r="U559" s="49">
        <f t="shared" si="350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t="shared" ca="1" si="346"/>
        <v>0</v>
      </c>
      <c r="P560" s="47">
        <f t="shared" ca="1" si="347"/>
        <v>0</v>
      </c>
      <c r="Q560" s="47">
        <v>0</v>
      </c>
      <c r="R560" s="47">
        <v>0</v>
      </c>
      <c r="S560" s="47">
        <v>0</v>
      </c>
      <c r="T560" s="47">
        <f t="shared" si="349"/>
        <v>0</v>
      </c>
      <c r="U560" s="47">
        <f t="shared" si="350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5">L562+L563</f>
        <v>0</v>
      </c>
      <c r="M561" s="47">
        <f t="shared" ca="1" si="355"/>
        <v>0</v>
      </c>
      <c r="N561" s="47">
        <f t="shared" ca="1" si="355"/>
        <v>0</v>
      </c>
      <c r="O561" s="47">
        <f t="shared" ca="1" si="346"/>
        <v>0</v>
      </c>
      <c r="P561" s="47">
        <f t="shared" ca="1" si="347"/>
        <v>0</v>
      </c>
      <c r="Q561" s="47">
        <f t="shared" ref="Q561:S561" si="356">Q562+Q563</f>
        <v>0</v>
      </c>
      <c r="R561" s="47">
        <f t="shared" si="356"/>
        <v>0</v>
      </c>
      <c r="S561" s="47">
        <f t="shared" si="356"/>
        <v>0</v>
      </c>
      <c r="T561" s="47">
        <f t="shared" si="349"/>
        <v>0</v>
      </c>
      <c r="U561" s="47">
        <f t="shared" si="350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6"/>
        <v>0</v>
      </c>
      <c r="P562" s="49">
        <f t="shared" si="347"/>
        <v>0</v>
      </c>
      <c r="Q562" s="49">
        <v>0</v>
      </c>
      <c r="R562" s="49">
        <v>0</v>
      </c>
      <c r="S562" s="49">
        <v>0</v>
      </c>
      <c r="T562" s="49">
        <f t="shared" si="349"/>
        <v>0</v>
      </c>
      <c r="U562" s="49">
        <f t="shared" si="350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t="shared" ca="1" si="346"/>
        <v>0</v>
      </c>
      <c r="P563" s="47">
        <f t="shared" ca="1" si="347"/>
        <v>0</v>
      </c>
      <c r="Q563" s="47">
        <v>0</v>
      </c>
      <c r="R563" s="47">
        <v>0</v>
      </c>
      <c r="S563" s="47">
        <v>0</v>
      </c>
      <c r="T563" s="47">
        <f t="shared" si="349"/>
        <v>0</v>
      </c>
      <c r="U563" s="47">
        <f t="shared" si="350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7">I587</f>
        <v>0</v>
      </c>
      <c r="J575" s="818">
        <f t="shared" si="357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8">L577+L578</f>
        <v>0</v>
      </c>
      <c r="M576" s="133">
        <f t="shared" ca="1" si="358"/>
        <v>0</v>
      </c>
      <c r="N576" s="133">
        <f t="shared" ca="1" si="358"/>
        <v>0</v>
      </c>
      <c r="O576" s="133">
        <f t="shared" ref="O576:O584" ca="1" si="359">IF(L576&gt;0,N576*100/L576,0)</f>
        <v>0</v>
      </c>
      <c r="P576" s="133">
        <f t="shared" ref="P576:P584" ca="1" si="360">IF(M576&gt;0,N576*100/M576,0)</f>
        <v>0</v>
      </c>
      <c r="Q576" s="133">
        <f t="shared" ref="Q576:S576" si="361">Q577+Q578</f>
        <v>0</v>
      </c>
      <c r="R576" s="133">
        <f t="shared" si="361"/>
        <v>0</v>
      </c>
      <c r="S576" s="133">
        <f t="shared" si="361"/>
        <v>0</v>
      </c>
      <c r="T576" s="133">
        <f t="shared" ref="T576:T584" si="362">IF(Q576&gt;0,S576*100/Q576,0)</f>
        <v>0</v>
      </c>
      <c r="U576" s="133">
        <f t="shared" ref="U576:U584" si="363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4">L580+L583</f>
        <v>0</v>
      </c>
      <c r="M577" s="49">
        <f t="shared" si="364"/>
        <v>0</v>
      </c>
      <c r="N577" s="49">
        <f t="shared" si="364"/>
        <v>0</v>
      </c>
      <c r="O577" s="49">
        <f t="shared" si="359"/>
        <v>0</v>
      </c>
      <c r="P577" s="49">
        <f t="shared" si="360"/>
        <v>0</v>
      </c>
      <c r="Q577" s="49">
        <f t="shared" ref="Q577:S578" si="365">Q580+Q583</f>
        <v>0</v>
      </c>
      <c r="R577" s="49">
        <f t="shared" si="365"/>
        <v>0</v>
      </c>
      <c r="S577" s="49">
        <f t="shared" si="365"/>
        <v>0</v>
      </c>
      <c r="T577" s="49">
        <f t="shared" si="362"/>
        <v>0</v>
      </c>
      <c r="U577" s="49">
        <f t="shared" si="363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4"/>
        <v>0</v>
      </c>
      <c r="M578" s="47">
        <f t="shared" ca="1" si="364"/>
        <v>0</v>
      </c>
      <c r="N578" s="47">
        <f t="shared" ca="1" si="364"/>
        <v>0</v>
      </c>
      <c r="O578" s="47">
        <f t="shared" ca="1" si="359"/>
        <v>0</v>
      </c>
      <c r="P578" s="47">
        <f t="shared" ca="1" si="360"/>
        <v>0</v>
      </c>
      <c r="Q578" s="47">
        <f t="shared" si="365"/>
        <v>0</v>
      </c>
      <c r="R578" s="47">
        <f t="shared" si="365"/>
        <v>0</v>
      </c>
      <c r="S578" s="47">
        <f t="shared" si="365"/>
        <v>0</v>
      </c>
      <c r="T578" s="47">
        <f t="shared" si="362"/>
        <v>0</v>
      </c>
      <c r="U578" s="47">
        <f t="shared" si="363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6">L580+L581</f>
        <v>0</v>
      </c>
      <c r="M579" s="47">
        <f t="shared" ca="1" si="366"/>
        <v>0</v>
      </c>
      <c r="N579" s="47">
        <f t="shared" ca="1" si="366"/>
        <v>0</v>
      </c>
      <c r="O579" s="47">
        <f t="shared" ca="1" si="359"/>
        <v>0</v>
      </c>
      <c r="P579" s="47">
        <f t="shared" ca="1" si="360"/>
        <v>0</v>
      </c>
      <c r="Q579" s="47">
        <f t="shared" ref="Q579:S579" si="367">Q580+Q581</f>
        <v>0</v>
      </c>
      <c r="R579" s="47">
        <f t="shared" si="367"/>
        <v>0</v>
      </c>
      <c r="S579" s="47">
        <f t="shared" si="367"/>
        <v>0</v>
      </c>
      <c r="T579" s="47">
        <f t="shared" si="362"/>
        <v>0</v>
      </c>
      <c r="U579" s="47">
        <f t="shared" si="363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9"/>
        <v>0</v>
      </c>
      <c r="P580" s="49">
        <f t="shared" si="360"/>
        <v>0</v>
      </c>
      <c r="Q580" s="49">
        <v>0</v>
      </c>
      <c r="R580" s="49">
        <v>0</v>
      </c>
      <c r="S580" s="49">
        <v>0</v>
      </c>
      <c r="T580" s="49">
        <f t="shared" si="362"/>
        <v>0</v>
      </c>
      <c r="U580" s="49">
        <f t="shared" si="363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t="shared" ca="1" si="359"/>
        <v>0</v>
      </c>
      <c r="P581" s="47">
        <f t="shared" ca="1" si="360"/>
        <v>0</v>
      </c>
      <c r="Q581" s="47">
        <v>0</v>
      </c>
      <c r="R581" s="47">
        <v>0</v>
      </c>
      <c r="S581" s="47">
        <v>0</v>
      </c>
      <c r="T581" s="47">
        <f t="shared" si="362"/>
        <v>0</v>
      </c>
      <c r="U581" s="47">
        <f t="shared" si="363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8">L583+L584</f>
        <v>0</v>
      </c>
      <c r="M582" s="47">
        <f t="shared" ca="1" si="368"/>
        <v>0</v>
      </c>
      <c r="N582" s="47">
        <f t="shared" ca="1" si="368"/>
        <v>0</v>
      </c>
      <c r="O582" s="47">
        <f t="shared" ca="1" si="359"/>
        <v>0</v>
      </c>
      <c r="P582" s="47">
        <f t="shared" ca="1" si="360"/>
        <v>0</v>
      </c>
      <c r="Q582" s="47">
        <f t="shared" ref="Q582:S582" si="369">Q583+Q584</f>
        <v>0</v>
      </c>
      <c r="R582" s="47">
        <f t="shared" si="369"/>
        <v>0</v>
      </c>
      <c r="S582" s="47">
        <f t="shared" si="369"/>
        <v>0</v>
      </c>
      <c r="T582" s="47">
        <f t="shared" si="362"/>
        <v>0</v>
      </c>
      <c r="U582" s="47">
        <f t="shared" si="363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9"/>
        <v>0</v>
      </c>
      <c r="P583" s="49">
        <f t="shared" si="360"/>
        <v>0</v>
      </c>
      <c r="Q583" s="49">
        <v>0</v>
      </c>
      <c r="R583" s="49">
        <v>0</v>
      </c>
      <c r="S583" s="49">
        <v>0</v>
      </c>
      <c r="T583" s="49">
        <f t="shared" si="362"/>
        <v>0</v>
      </c>
      <c r="U583" s="49">
        <f t="shared" si="363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t="shared" ca="1" si="359"/>
        <v>0</v>
      </c>
      <c r="P584" s="47">
        <f t="shared" ca="1" si="360"/>
        <v>0</v>
      </c>
      <c r="Q584" s="47">
        <v>0</v>
      </c>
      <c r="R584" s="47">
        <v>0</v>
      </c>
      <c r="S584" s="47">
        <v>0</v>
      </c>
      <c r="T584" s="47">
        <f t="shared" si="362"/>
        <v>0</v>
      </c>
      <c r="U584" s="47">
        <f t="shared" si="363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09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70">L600+L601</f>
        <v>14770</v>
      </c>
      <c r="M599" s="441">
        <f t="shared" ca="1" si="370"/>
        <v>14770</v>
      </c>
      <c r="N599" s="441">
        <f t="shared" ca="1" si="370"/>
        <v>14770</v>
      </c>
      <c r="O599" s="441">
        <f t="shared" ref="O599:O607" ca="1" si="371">IF(L599&gt;0,N599*100/L599,0)</f>
        <v>100</v>
      </c>
      <c r="P599" s="441">
        <f t="shared" ref="P599:P607" ca="1" si="372">IF(M599&gt;0,N599*100/M599,0)</f>
        <v>100</v>
      </c>
      <c r="Q599" s="441">
        <f t="shared" ref="Q599:S599" ca="1" si="373">Q600+Q601</f>
        <v>0</v>
      </c>
      <c r="R599" s="441">
        <f t="shared" ca="1" si="373"/>
        <v>0</v>
      </c>
      <c r="S599" s="441">
        <f t="shared" ca="1" si="373"/>
        <v>0</v>
      </c>
      <c r="T599" s="441">
        <f t="shared" ref="T599:T607" ca="1" si="374">IF(Q599&gt;0,S599*100/Q599,0)</f>
        <v>0</v>
      </c>
      <c r="U599" s="441">
        <f t="shared" ref="U599:U607" ca="1" si="375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6">L603+L606</f>
        <v>0</v>
      </c>
      <c r="M600" s="352">
        <f t="shared" si="376"/>
        <v>0</v>
      </c>
      <c r="N600" s="352">
        <f t="shared" si="376"/>
        <v>0</v>
      </c>
      <c r="O600" s="352">
        <f t="shared" si="371"/>
        <v>0</v>
      </c>
      <c r="P600" s="352">
        <f t="shared" si="372"/>
        <v>0</v>
      </c>
      <c r="Q600" s="352">
        <f t="shared" ref="Q600:S601" si="377">Q603+Q606</f>
        <v>0</v>
      </c>
      <c r="R600" s="352">
        <f t="shared" si="377"/>
        <v>0</v>
      </c>
      <c r="S600" s="352">
        <f t="shared" si="377"/>
        <v>0</v>
      </c>
      <c r="T600" s="352">
        <f t="shared" si="374"/>
        <v>0</v>
      </c>
      <c r="U600" s="352">
        <f t="shared" si="375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6"/>
        <v>14770</v>
      </c>
      <c r="M601" s="352">
        <f t="shared" ca="1" si="376"/>
        <v>14770</v>
      </c>
      <c r="N601" s="352">
        <f t="shared" ca="1" si="376"/>
        <v>14770</v>
      </c>
      <c r="O601" s="352">
        <f t="shared" ca="1" si="371"/>
        <v>100</v>
      </c>
      <c r="P601" s="352">
        <f t="shared" ca="1" si="372"/>
        <v>100</v>
      </c>
      <c r="Q601" s="352">
        <f t="shared" ca="1" si="377"/>
        <v>0</v>
      </c>
      <c r="R601" s="352">
        <f t="shared" ca="1" si="377"/>
        <v>0</v>
      </c>
      <c r="S601" s="352">
        <f t="shared" ca="1" si="377"/>
        <v>0</v>
      </c>
      <c r="T601" s="352">
        <f t="shared" ca="1" si="374"/>
        <v>0</v>
      </c>
      <c r="U601" s="352">
        <f t="shared" ca="1" si="375"/>
        <v>0</v>
      </c>
    </row>
    <row r="602" spans="1:21" ht="18.75" x14ac:dyDescent="0.25">
      <c r="A602" s="436"/>
      <c r="B602" s="347"/>
      <c r="C602" s="347"/>
      <c r="D602" s="693" t="s">
        <v>22</v>
      </c>
      <c r="E602" s="444"/>
      <c r="F602" s="444"/>
      <c r="G602" s="445"/>
      <c r="H602" s="446" t="s">
        <v>14</v>
      </c>
      <c r="I602" s="448"/>
      <c r="J602" s="448"/>
      <c r="K602" s="449"/>
      <c r="L602" s="692">
        <f t="shared" ref="L602:N602" ca="1" si="378">L603+L604</f>
        <v>14770</v>
      </c>
      <c r="M602" s="352">
        <f t="shared" ca="1" si="378"/>
        <v>14770</v>
      </c>
      <c r="N602" s="352">
        <f t="shared" ca="1" si="378"/>
        <v>14770</v>
      </c>
      <c r="O602" s="352">
        <f t="shared" ca="1" si="371"/>
        <v>100</v>
      </c>
      <c r="P602" s="352">
        <f t="shared" ca="1" si="372"/>
        <v>100</v>
      </c>
      <c r="Q602" s="352">
        <f t="shared" ref="Q602:S602" ca="1" si="379">Q603+Q604</f>
        <v>0</v>
      </c>
      <c r="R602" s="352">
        <f t="shared" ca="1" si="379"/>
        <v>0</v>
      </c>
      <c r="S602" s="352">
        <f t="shared" ca="1" si="379"/>
        <v>0</v>
      </c>
      <c r="T602" s="352">
        <f t="shared" ca="1" si="374"/>
        <v>0</v>
      </c>
      <c r="U602" s="352">
        <f t="shared" ca="1" si="375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71"/>
        <v>0</v>
      </c>
      <c r="P603" s="352">
        <f t="shared" si="372"/>
        <v>0</v>
      </c>
      <c r="Q603" s="352">
        <v>0</v>
      </c>
      <c r="R603" s="352">
        <v>0</v>
      </c>
      <c r="S603" s="352">
        <v>0</v>
      </c>
      <c r="T603" s="352">
        <f t="shared" si="374"/>
        <v>0</v>
      </c>
      <c r="U603" s="352">
        <f t="shared" si="375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IFERROR(__xludf.DUMMYFUNCTION("IMPORTRANGE(""https://docs.google.com/spreadsheets/d/1-uDff_7J0KD5mKrp0Vvzr7lt3OU09vwQwhkpOPPYv2Y/edit?usp=sharing"",""งบพรบ!HK86"")"),14770)</f>
        <v>14770</v>
      </c>
      <c r="M604" s="352">
        <f ca="1">IFERROR(__xludf.DUMMYFUNCTION("IMPORTRANGE(""https://docs.google.com/spreadsheets/d/1-uDff_7J0KD5mKrp0Vvzr7lt3OU09vwQwhkpOPPYv2Y/edit?usp=sharing"",""งบพรบ!HP86"")"),14770)</f>
        <v>14770</v>
      </c>
      <c r="N604" s="352">
        <f ca="1">IFERROR(__xludf.DUMMYFUNCTION("IMPORTRANGE(""https://docs.google.com/spreadsheets/d/1-uDff_7J0KD5mKrp0Vvzr7lt3OU09vwQwhkpOPPYv2Y/edit?usp=sharing"",""งบพรบ!HR86"")"),14770)</f>
        <v>14770</v>
      </c>
      <c r="O604" s="352">
        <f t="shared" ca="1" si="371"/>
        <v>100</v>
      </c>
      <c r="P604" s="352">
        <f t="shared" ca="1" si="372"/>
        <v>100</v>
      </c>
      <c r="Q604" s="352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352">
        <f t="shared" ca="1" si="374"/>
        <v>0</v>
      </c>
      <c r="U604" s="352">
        <f t="shared" ca="1" si="375"/>
        <v>0</v>
      </c>
    </row>
    <row r="605" spans="1:21" ht="18.75" x14ac:dyDescent="0.25">
      <c r="A605" s="436"/>
      <c r="B605" s="347"/>
      <c r="C605" s="347"/>
      <c r="D605" s="693" t="s">
        <v>23</v>
      </c>
      <c r="E605" s="347"/>
      <c r="F605" s="444"/>
      <c r="G605" s="445"/>
      <c r="H605" s="451" t="s">
        <v>14</v>
      </c>
      <c r="I605" s="448"/>
      <c r="J605" s="448"/>
      <c r="K605" s="449"/>
      <c r="L605" s="692">
        <f t="shared" ref="L605:N605" ca="1" si="380">L606+L607</f>
        <v>0</v>
      </c>
      <c r="M605" s="352">
        <f t="shared" ca="1" si="380"/>
        <v>0</v>
      </c>
      <c r="N605" s="352">
        <f t="shared" ca="1" si="380"/>
        <v>0</v>
      </c>
      <c r="O605" s="352">
        <f t="shared" ca="1" si="371"/>
        <v>0</v>
      </c>
      <c r="P605" s="352">
        <f t="shared" ca="1" si="372"/>
        <v>0</v>
      </c>
      <c r="Q605" s="352">
        <f t="shared" ref="Q605:S605" ca="1" si="381">Q606+Q607</f>
        <v>0</v>
      </c>
      <c r="R605" s="352">
        <f t="shared" ca="1" si="381"/>
        <v>0</v>
      </c>
      <c r="S605" s="352">
        <f t="shared" ca="1" si="381"/>
        <v>0</v>
      </c>
      <c r="T605" s="352">
        <f t="shared" ca="1" si="374"/>
        <v>0</v>
      </c>
      <c r="U605" s="352">
        <f t="shared" ca="1" si="375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692">
        <v>0</v>
      </c>
      <c r="M606" s="352">
        <v>0</v>
      </c>
      <c r="N606" s="352">
        <v>0</v>
      </c>
      <c r="O606" s="352">
        <f t="shared" si="371"/>
        <v>0</v>
      </c>
      <c r="P606" s="352">
        <f t="shared" si="372"/>
        <v>0</v>
      </c>
      <c r="Q606" s="352">
        <v>0</v>
      </c>
      <c r="R606" s="352">
        <v>0</v>
      </c>
      <c r="S606" s="352">
        <v>0</v>
      </c>
      <c r="T606" s="352">
        <f t="shared" si="374"/>
        <v>0</v>
      </c>
      <c r="U606" s="352">
        <f t="shared" si="375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692">
        <f ca="1">IFERROR(__xludf.DUMMYFUNCTION("IMPORTRANGE(""https://docs.google.com/spreadsheets/d/1-uDff_7J0KD5mKrp0Vvzr7lt3OU09vwQwhkpOPPYv2Y/edit?usp=sharing"",""งบพรบ!HN86"")"),0)</f>
        <v>0</v>
      </c>
      <c r="M607" s="352">
        <f ca="1">IFERROR(__xludf.DUMMYFUNCTION("IMPORTRANGE(""https://docs.google.com/spreadsheets/d/1-uDff_7J0KD5mKrp0Vvzr7lt3OU09vwQwhkpOPPYv2Y/edit?usp=sharing"",""งบพรบ!HQ86"")"),0)</f>
        <v>0</v>
      </c>
      <c r="N607" s="352">
        <f ca="1">IFERROR(__xludf.DUMMYFUNCTION("IMPORTRANGE(""https://docs.google.com/spreadsheets/d/1-uDff_7J0KD5mKrp0Vvzr7lt3OU09vwQwhkpOPPYv2Y/edit?usp=sharing"",""งบพรบ!HS86"")"),0)</f>
        <v>0</v>
      </c>
      <c r="O607" s="352">
        <f t="shared" ca="1" si="371"/>
        <v>0</v>
      </c>
      <c r="P607" s="352">
        <f t="shared" ca="1" si="372"/>
        <v>0</v>
      </c>
      <c r="Q607" s="352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352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352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352">
        <f t="shared" ca="1" si="374"/>
        <v>0</v>
      </c>
      <c r="U607" s="352">
        <f t="shared" ca="1" si="375"/>
        <v>0</v>
      </c>
    </row>
    <row r="608" spans="1:21" ht="19.5" x14ac:dyDescent="0.3">
      <c r="A608" s="452"/>
      <c r="B608" s="453"/>
      <c r="C608" s="409" t="s">
        <v>18</v>
      </c>
      <c r="D608" s="694" t="s">
        <v>38</v>
      </c>
      <c r="E608" s="455"/>
      <c r="F608" s="455"/>
      <c r="G608" s="456"/>
      <c r="H608" s="457"/>
      <c r="I608" s="448"/>
      <c r="J608" s="448"/>
      <c r="K608" s="449"/>
      <c r="L608" s="742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742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742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742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9.5" thickBot="1" x14ac:dyDescent="0.3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896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2">I626</f>
        <v>50</v>
      </c>
      <c r="J615" s="488">
        <f t="shared" si="382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3">L617+L618</f>
        <v>0</v>
      </c>
      <c r="M616" s="133">
        <f t="shared" si="383"/>
        <v>0</v>
      </c>
      <c r="N616" s="133">
        <f t="shared" si="383"/>
        <v>0</v>
      </c>
      <c r="O616" s="133">
        <f t="shared" ref="O616:O624" si="384">IF(L616&gt;0,N616*100/L616,0)</f>
        <v>0</v>
      </c>
      <c r="P616" s="133">
        <f t="shared" ref="P616:P624" si="385">IF(M616&gt;0,N616*100/M616,0)</f>
        <v>0</v>
      </c>
      <c r="Q616" s="133">
        <f t="shared" ref="Q616:S616" ca="1" si="386">Q617+Q618</f>
        <v>6900</v>
      </c>
      <c r="R616" s="133">
        <f t="shared" ca="1" si="386"/>
        <v>1360</v>
      </c>
      <c r="S616" s="133">
        <f t="shared" ca="1" si="386"/>
        <v>1360</v>
      </c>
      <c r="T616" s="133">
        <f t="shared" ref="T616:T624" ca="1" si="387">IF(Q616&gt;0,S616*100/Q616,0)</f>
        <v>19.710144927536231</v>
      </c>
      <c r="U616" s="133">
        <f t="shared" ref="U616:U624" ca="1" si="388">IF(R616&gt;0,S616*100/R616,0)</f>
        <v>100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9">L620+L623</f>
        <v>0</v>
      </c>
      <c r="M617" s="49">
        <f t="shared" si="389"/>
        <v>0</v>
      </c>
      <c r="N617" s="49">
        <f t="shared" si="389"/>
        <v>0</v>
      </c>
      <c r="O617" s="49">
        <f t="shared" si="384"/>
        <v>0</v>
      </c>
      <c r="P617" s="49">
        <f t="shared" si="385"/>
        <v>0</v>
      </c>
      <c r="Q617" s="49">
        <f t="shared" ref="Q617:S618" si="390">Q620+Q623</f>
        <v>0</v>
      </c>
      <c r="R617" s="49">
        <f t="shared" si="390"/>
        <v>0</v>
      </c>
      <c r="S617" s="49">
        <f t="shared" si="390"/>
        <v>0</v>
      </c>
      <c r="T617" s="49">
        <f t="shared" si="387"/>
        <v>0</v>
      </c>
      <c r="U617" s="49">
        <f t="shared" si="388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9"/>
        <v>0</v>
      </c>
      <c r="M618" s="47">
        <f t="shared" si="389"/>
        <v>0</v>
      </c>
      <c r="N618" s="47">
        <f t="shared" si="389"/>
        <v>0</v>
      </c>
      <c r="O618" s="47">
        <f t="shared" si="384"/>
        <v>0</v>
      </c>
      <c r="P618" s="47">
        <f t="shared" si="385"/>
        <v>0</v>
      </c>
      <c r="Q618" s="47">
        <f t="shared" ca="1" si="390"/>
        <v>6900</v>
      </c>
      <c r="R618" s="47">
        <f t="shared" ca="1" si="390"/>
        <v>1360</v>
      </c>
      <c r="S618" s="47">
        <f t="shared" ca="1" si="390"/>
        <v>1360</v>
      </c>
      <c r="T618" s="47">
        <f t="shared" ca="1" si="387"/>
        <v>19.710144927536231</v>
      </c>
      <c r="U618" s="47">
        <f t="shared" ca="1" si="388"/>
        <v>100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1">L620+L621</f>
        <v>0</v>
      </c>
      <c r="M619" s="47">
        <f t="shared" si="391"/>
        <v>0</v>
      </c>
      <c r="N619" s="47">
        <f t="shared" si="391"/>
        <v>0</v>
      </c>
      <c r="O619" s="47">
        <f t="shared" si="384"/>
        <v>0</v>
      </c>
      <c r="P619" s="47">
        <f t="shared" si="385"/>
        <v>0</v>
      </c>
      <c r="Q619" s="47">
        <f t="shared" ref="Q619:S619" ca="1" si="392">Q620+Q621</f>
        <v>6900</v>
      </c>
      <c r="R619" s="47">
        <f t="shared" ca="1" si="392"/>
        <v>1360</v>
      </c>
      <c r="S619" s="47">
        <f t="shared" ca="1" si="392"/>
        <v>1360</v>
      </c>
      <c r="T619" s="47">
        <f t="shared" ca="1" si="387"/>
        <v>19.710144927536231</v>
      </c>
      <c r="U619" s="47">
        <f t="shared" ca="1" si="388"/>
        <v>100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4"/>
        <v>0</v>
      </c>
      <c r="P620" s="49">
        <f t="shared" si="385"/>
        <v>0</v>
      </c>
      <c r="Q620" s="49">
        <v>0</v>
      </c>
      <c r="R620" s="49">
        <v>0</v>
      </c>
      <c r="S620" s="49">
        <v>0</v>
      </c>
      <c r="T620" s="49">
        <f t="shared" si="387"/>
        <v>0</v>
      </c>
      <c r="U620" s="49">
        <f t="shared" si="388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4"/>
        <v>0</v>
      </c>
      <c r="P621" s="47">
        <f t="shared" si="385"/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IFERROR(__xludf.DUMMYFUNCTION("IMPORTRANGE(""https://docs.google.com/spreadsheets/d/1ItG2mGa2ceCfYo0BwxsXqNm01IGEUdYcSSLTEv9YCik/edit?usp=sharing"",""เบิกจ่ายกองทุน!G86"")"),1360)</f>
        <v>1360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t="shared" ca="1" si="387"/>
        <v>19.710144927536231</v>
      </c>
      <c r="U621" s="47">
        <f t="shared" ca="1" si="388"/>
        <v>100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3">L623+L624</f>
        <v>0</v>
      </c>
      <c r="M622" s="47">
        <f t="shared" si="393"/>
        <v>0</v>
      </c>
      <c r="N622" s="47">
        <f t="shared" si="393"/>
        <v>0</v>
      </c>
      <c r="O622" s="47">
        <f t="shared" si="384"/>
        <v>0</v>
      </c>
      <c r="P622" s="47">
        <f t="shared" si="385"/>
        <v>0</v>
      </c>
      <c r="Q622" s="47">
        <f t="shared" ref="Q622:S622" si="394">Q623+Q624</f>
        <v>0</v>
      </c>
      <c r="R622" s="47">
        <f t="shared" si="394"/>
        <v>0</v>
      </c>
      <c r="S622" s="47">
        <f t="shared" si="394"/>
        <v>0</v>
      </c>
      <c r="T622" s="47">
        <f t="shared" si="387"/>
        <v>0</v>
      </c>
      <c r="U622" s="47">
        <f t="shared" si="388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4"/>
        <v>0</v>
      </c>
      <c r="P623" s="49">
        <f t="shared" si="385"/>
        <v>0</v>
      </c>
      <c r="Q623" s="49">
        <v>0</v>
      </c>
      <c r="R623" s="49">
        <v>0</v>
      </c>
      <c r="S623" s="49">
        <v>0</v>
      </c>
      <c r="T623" s="49">
        <f t="shared" si="387"/>
        <v>0</v>
      </c>
      <c r="U623" s="49">
        <f t="shared" si="388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4"/>
        <v>0</v>
      </c>
      <c r="P624" s="47">
        <f t="shared" si="385"/>
        <v>0</v>
      </c>
      <c r="Q624" s="47">
        <v>0</v>
      </c>
      <c r="R624" s="47">
        <v>0</v>
      </c>
      <c r="S624" s="47">
        <v>0</v>
      </c>
      <c r="T624" s="47">
        <f t="shared" si="387"/>
        <v>0</v>
      </c>
      <c r="U624" s="47">
        <f t="shared" si="388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IFERROR(__xludf.DUMMYFUNCTION("IMPORTRANGE(""https://docs.google.com/spreadsheets/d/1eHaY18a8A9IcSdp1K8H6x8fbOy06t2VsZHhMHf-1x7Y/edit?usp=sharing"",""แผน!ID86"")"),50)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IFERROR(__xludf.DUMMYFUNCTION("IMPORTRANGE(""https://docs.google.com/spreadsheets/d/1eHaY18a8A9IcSdp1K8H6x8fbOy06t2VsZHhMHf-1x7Y/edit?usp=sharing"",""แผน!IC86"")"),0)</f>
        <v>0</v>
      </c>
      <c r="J627" s="169">
        <v>0</v>
      </c>
      <c r="K627" s="47">
        <f t="shared" ref="K627:K628" ca="1" si="395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IFERROR(__xludf.DUMMYFUNCTION("IMPORTRANGE(""https://docs.google.com/spreadsheets/d/1eHaY18a8A9IcSdp1K8H6x8fbOy06t2VsZHhMHf-1x7Y/edit?usp=sharing"",""แผน!IC86"")"),0)</f>
        <v>0</v>
      </c>
      <c r="J628" s="169">
        <v>0</v>
      </c>
      <c r="K628" s="47">
        <f t="shared" ca="1" si="395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6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6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6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IFERROR(__xludf.DUMMYFUNCTION("IMPORTRANGE(""https://docs.google.com/spreadsheets/d/1eHaY18a8A9IcSdp1K8H6x8fbOy06t2VsZHhMHf-1x7Y/edit?usp=sharing"",""แผน!IE86"")"),0)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7">L643+L644</f>
        <v>0</v>
      </c>
      <c r="M642" s="133">
        <f t="shared" si="397"/>
        <v>0</v>
      </c>
      <c r="N642" s="133">
        <f t="shared" si="397"/>
        <v>0</v>
      </c>
      <c r="O642" s="133">
        <f t="shared" ref="O642:O650" si="398">IF(L642&gt;0,N642*100/L642,0)</f>
        <v>0</v>
      </c>
      <c r="P642" s="133">
        <f t="shared" ref="P642:P650" si="399">IF(M642&gt;0,N642*100/M642,0)</f>
        <v>0</v>
      </c>
      <c r="Q642" s="133">
        <f t="shared" ref="Q642:S642" ca="1" si="400">Q643+Q644</f>
        <v>0</v>
      </c>
      <c r="R642" s="133">
        <f t="shared" ca="1" si="400"/>
        <v>0</v>
      </c>
      <c r="S642" s="133">
        <f t="shared" ca="1" si="400"/>
        <v>0</v>
      </c>
      <c r="T642" s="133">
        <f t="shared" ref="T642:T650" ca="1" si="401">IF(Q642&gt;0,S642*100/Q642,0)</f>
        <v>0</v>
      </c>
      <c r="U642" s="133">
        <f t="shared" ref="U642:U650" ca="1" si="402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3">L646+L649</f>
        <v>0</v>
      </c>
      <c r="M643" s="49">
        <f t="shared" si="403"/>
        <v>0</v>
      </c>
      <c r="N643" s="49">
        <f t="shared" si="403"/>
        <v>0</v>
      </c>
      <c r="O643" s="49">
        <f t="shared" si="398"/>
        <v>0</v>
      </c>
      <c r="P643" s="49">
        <f t="shared" si="399"/>
        <v>0</v>
      </c>
      <c r="Q643" s="49">
        <f t="shared" ref="Q643:S644" si="404">Q646+Q649</f>
        <v>0</v>
      </c>
      <c r="R643" s="49">
        <f t="shared" si="404"/>
        <v>0</v>
      </c>
      <c r="S643" s="49">
        <f t="shared" si="404"/>
        <v>0</v>
      </c>
      <c r="T643" s="49">
        <f t="shared" si="401"/>
        <v>0</v>
      </c>
      <c r="U643" s="49">
        <f t="shared" si="402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3"/>
        <v>0</v>
      </c>
      <c r="M644" s="47">
        <f t="shared" si="403"/>
        <v>0</v>
      </c>
      <c r="N644" s="47">
        <f t="shared" si="403"/>
        <v>0</v>
      </c>
      <c r="O644" s="47">
        <f t="shared" si="398"/>
        <v>0</v>
      </c>
      <c r="P644" s="47">
        <f t="shared" si="399"/>
        <v>0</v>
      </c>
      <c r="Q644" s="47">
        <f t="shared" ca="1" si="404"/>
        <v>0</v>
      </c>
      <c r="R644" s="47">
        <f t="shared" ca="1" si="404"/>
        <v>0</v>
      </c>
      <c r="S644" s="47">
        <f t="shared" ca="1" si="404"/>
        <v>0</v>
      </c>
      <c r="T644" s="47">
        <f t="shared" ca="1" si="401"/>
        <v>0</v>
      </c>
      <c r="U644" s="47">
        <f t="shared" ca="1" si="402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5">L646+L647</f>
        <v>0</v>
      </c>
      <c r="M645" s="47">
        <f t="shared" si="405"/>
        <v>0</v>
      </c>
      <c r="N645" s="47">
        <f t="shared" si="405"/>
        <v>0</v>
      </c>
      <c r="O645" s="47">
        <f t="shared" si="398"/>
        <v>0</v>
      </c>
      <c r="P645" s="47">
        <f t="shared" si="399"/>
        <v>0</v>
      </c>
      <c r="Q645" s="47">
        <f t="shared" ref="Q645:S645" ca="1" si="406">Q646+Q647</f>
        <v>0</v>
      </c>
      <c r="R645" s="47">
        <f t="shared" ca="1" si="406"/>
        <v>0</v>
      </c>
      <c r="S645" s="47">
        <f t="shared" ca="1" si="406"/>
        <v>0</v>
      </c>
      <c r="T645" s="47">
        <f t="shared" ca="1" si="401"/>
        <v>0</v>
      </c>
      <c r="U645" s="47">
        <f t="shared" ca="1" si="402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8"/>
        <v>0</v>
      </c>
      <c r="P646" s="49">
        <f t="shared" si="399"/>
        <v>0</v>
      </c>
      <c r="Q646" s="49">
        <v>0</v>
      </c>
      <c r="R646" s="49">
        <v>0</v>
      </c>
      <c r="S646" s="49">
        <v>0</v>
      </c>
      <c r="T646" s="49">
        <f t="shared" si="401"/>
        <v>0</v>
      </c>
      <c r="U646" s="49">
        <f t="shared" si="402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8"/>
        <v>0</v>
      </c>
      <c r="P647" s="47">
        <f t="shared" si="399"/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t="shared" ca="1" si="401"/>
        <v>0</v>
      </c>
      <c r="U647" s="47">
        <f t="shared" ca="1" si="402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7">L649+L650</f>
        <v>0</v>
      </c>
      <c r="M648" s="47">
        <f t="shared" si="407"/>
        <v>0</v>
      </c>
      <c r="N648" s="47">
        <f t="shared" si="407"/>
        <v>0</v>
      </c>
      <c r="O648" s="47">
        <f t="shared" si="398"/>
        <v>0</v>
      </c>
      <c r="P648" s="47">
        <f t="shared" si="399"/>
        <v>0</v>
      </c>
      <c r="Q648" s="47">
        <f t="shared" ref="Q648:S648" si="408">Q649+Q650</f>
        <v>0</v>
      </c>
      <c r="R648" s="47">
        <f t="shared" si="408"/>
        <v>0</v>
      </c>
      <c r="S648" s="47">
        <f t="shared" si="408"/>
        <v>0</v>
      </c>
      <c r="T648" s="47">
        <f t="shared" si="401"/>
        <v>0</v>
      </c>
      <c r="U648" s="47">
        <f t="shared" si="402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8"/>
        <v>0</v>
      </c>
      <c r="P649" s="49">
        <f t="shared" si="399"/>
        <v>0</v>
      </c>
      <c r="Q649" s="49">
        <v>0</v>
      </c>
      <c r="R649" s="49">
        <v>0</v>
      </c>
      <c r="S649" s="49">
        <v>0</v>
      </c>
      <c r="T649" s="49">
        <f t="shared" si="401"/>
        <v>0</v>
      </c>
      <c r="U649" s="49">
        <f t="shared" si="402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8"/>
        <v>0</v>
      </c>
      <c r="P650" s="47">
        <f t="shared" si="399"/>
        <v>0</v>
      </c>
      <c r="Q650" s="47">
        <v>0</v>
      </c>
      <c r="R650" s="47">
        <v>0</v>
      </c>
      <c r="S650" s="47">
        <v>0</v>
      </c>
      <c r="T650" s="47">
        <f t="shared" si="401"/>
        <v>0</v>
      </c>
      <c r="U650" s="47">
        <f t="shared" si="402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IFERROR(__xludf.DUMMYFUNCTION("IMPORTRANGE(""https://docs.google.com/spreadsheets/d/1eHaY18a8A9IcSdp1K8H6x8fbOy06t2VsZHhMHf-1x7Y/edit?usp=sharing"",""แผน!IF86"")"),0)</f>
        <v>0</v>
      </c>
      <c r="J652" s="37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t="shared" ref="K652:K654" ca="1" si="409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IFERROR(__xludf.DUMMYFUNCTION("IMPORTRANGE(""https://docs.google.com/spreadsheets/d/1eHaY18a8A9IcSdp1K8H6x8fbOy06t2VsZHhMHf-1x7Y/edit?usp=sharing"",""แผน!IG86"")"),0)</f>
        <v>0</v>
      </c>
      <c r="J653" s="37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t="shared" ca="1" si="409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IFERROR(__xludf.DUMMYFUNCTION("IMPORTRANGE(""https://docs.google.com/spreadsheets/d/1eHaY18a8A9IcSdp1K8H6x8fbOy06t2VsZHhMHf-1x7Y/edit?usp=sharing"",""แผน!IH86"")"),0)</f>
        <v>0</v>
      </c>
      <c r="J654" s="371">
        <f>J657+J660</f>
        <v>0</v>
      </c>
      <c r="K654" s="133">
        <f t="shared" ca="1" si="409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IFERROR(__xludf.DUMMYFUNCTION("IMPORTRANGE(""https://docs.google.com/spreadsheets/d/1eHaY18a8A9IcSdp1K8H6x8fbOy06t2VsZHhMHf-1x7Y/edit?usp=sharing"",""แผน!II86"")"),0)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IFERROR(__xludf.DUMMYFUNCTION("IMPORTRANGE(""https://docs.google.com/spreadsheets/d/1eHaY18a8A9IcSdp1K8H6x8fbOy06t2VsZHhMHf-1x7Y/edit?usp=sharing"",""แผน!IJ86"")"),0)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IFERROR(__xludf.DUMMYFUNCTION("IMPORTRANGE(""https://docs.google.com/spreadsheets/d/1eHaY18a8A9IcSdp1K8H6x8fbOy06t2VsZHhMHf-1x7Y/edit?usp=sharing"",""แผน!IK86"")"),0)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IFERROR(__xludf.DUMMYFUNCTION("IMPORTRANGE(""https://docs.google.com/spreadsheets/d/1eHaY18a8A9IcSdp1K8H6x8fbOy06t2VsZHhMHf-1x7Y/edit?usp=sharing"",""แผน!IL86"")"),0)</f>
        <v>0</v>
      </c>
      <c r="J673" s="37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t="shared" ref="K673:K676" ca="1" si="410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IFERROR(__xludf.DUMMYFUNCTION("IMPORTRANGE(""https://docs.google.com/spreadsheets/d/1eHaY18a8A9IcSdp1K8H6x8fbOy06t2VsZHhMHf-1x7Y/edit?usp=sharing"",""แผน!IM86"")"),0)</f>
        <v>0</v>
      </c>
      <c r="J674" s="371">
        <f ca="1">J676+J679</f>
        <v>0</v>
      </c>
      <c r="K674" s="133">
        <f t="shared" ca="1" si="410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IFERROR(__xludf.DUMMYFUNCTION("IMPORTRANGE(""https://docs.google.com/spreadsheets/d/1eHaY18a8A9IcSdp1K8H6x8fbOy06t2VsZHhMHf-1x7Y/edit?usp=sharing"",""แผน!IN86"")"),0)</f>
        <v>0</v>
      </c>
      <c r="J675" s="371">
        <f ca="1">J678+J681</f>
        <v>0</v>
      </c>
      <c r="K675" s="133">
        <f t="shared" ca="1" si="410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IFERROR(__xludf.DUMMYFUNCTION("IMPORTRANGE(""https://docs.google.com/spreadsheets/d/1eHaY18a8A9IcSdp1K8H6x8fbOy06t2VsZHhMHf-1x7Y/edit?usp=sharing"",""แผน!IO86"")"),0)</f>
        <v>0</v>
      </c>
      <c r="J676" s="37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t="shared" ca="1" si="410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IFERROR(__xludf.DUMMYFUNCTION("IMPORTRANGE(""https://docs.google.com/spreadsheets/d/1eHaY18a8A9IcSdp1K8H6x8fbOy06t2VsZHhMHf-1x7Y/edit?usp=sharing"",""แผน!IP86"")"),0)</f>
        <v>0</v>
      </c>
      <c r="J678" s="37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t="shared" ref="K678:K679" ca="1" si="411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IFERROR(__xludf.DUMMYFUNCTION("IMPORTRANGE(""https://docs.google.com/spreadsheets/d/1eHaY18a8A9IcSdp1K8H6x8fbOy06t2VsZHhMHf-1x7Y/edit?usp=sharing"",""แผน!IQ86"")"),0)</f>
        <v>0</v>
      </c>
      <c r="J679" s="37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t="shared" ca="1" si="411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IFERROR(__xludf.DUMMYFUNCTION("IMPORTRANGE(""https://docs.google.com/spreadsheets/d/1eHaY18a8A9IcSdp1K8H6x8fbOy06t2VsZHhMHf-1x7Y/edit?usp=sharing"",""แผน!IR86"")"),0)</f>
        <v>0</v>
      </c>
      <c r="J681" s="37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t="shared" ref="K681:K682" ca="1" si="412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IFERROR(__xludf.DUMMYFUNCTION("IMPORTRANGE(""https://docs.google.com/spreadsheets/d/1eHaY18a8A9IcSdp1K8H6x8fbOy06t2VsZHhMHf-1x7Y/edit?usp=sharing"",""แผน!IS86"")"),0)</f>
        <v>0</v>
      </c>
      <c r="J682" s="371">
        <f>J685+J688</f>
        <v>0</v>
      </c>
      <c r="K682" s="133">
        <f t="shared" ca="1" si="412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3">I707+I709</f>
        <v>3</v>
      </c>
      <c r="J689" s="844">
        <f t="shared" ca="1" si="413"/>
        <v>2</v>
      </c>
      <c r="K689" s="505">
        <f ca="1">IF(I689&gt;0,J689*100/I689,0)</f>
        <v>66.666666666666671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4">L691+L692</f>
        <v>0</v>
      </c>
      <c r="M690" s="133">
        <f t="shared" si="414"/>
        <v>0</v>
      </c>
      <c r="N690" s="133">
        <f t="shared" si="414"/>
        <v>0</v>
      </c>
      <c r="O690" s="133">
        <f t="shared" ref="O690:O698" si="415">IF(L690&gt;0,N690*100/L690,0)</f>
        <v>0</v>
      </c>
      <c r="P690" s="133">
        <f t="shared" ref="P690:P698" si="416">IF(M690&gt;0,N690*100/M690,0)</f>
        <v>0</v>
      </c>
      <c r="Q690" s="133">
        <f t="shared" ref="Q690:S690" ca="1" si="417">Q691+Q692</f>
        <v>69540</v>
      </c>
      <c r="R690" s="133">
        <f t="shared" ca="1" si="417"/>
        <v>69540</v>
      </c>
      <c r="S690" s="133">
        <f t="shared" ca="1" si="417"/>
        <v>29700</v>
      </c>
      <c r="T690" s="133">
        <f t="shared" ref="T690:T698" ca="1" si="418">IF(Q690&gt;0,S690*100/Q690,0)</f>
        <v>42.709232096635027</v>
      </c>
      <c r="U690" s="133">
        <f t="shared" ref="U690:U698" ca="1" si="419">IF(R690&gt;0,S690*100/R690,0)</f>
        <v>42.709232096635027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0">L694+L697</f>
        <v>0</v>
      </c>
      <c r="M691" s="49">
        <f t="shared" si="420"/>
        <v>0</v>
      </c>
      <c r="N691" s="49">
        <f t="shared" si="420"/>
        <v>0</v>
      </c>
      <c r="O691" s="49">
        <f t="shared" si="415"/>
        <v>0</v>
      </c>
      <c r="P691" s="49">
        <f t="shared" si="416"/>
        <v>0</v>
      </c>
      <c r="Q691" s="49">
        <f t="shared" ref="Q691:S692" si="421">Q694+Q697</f>
        <v>0</v>
      </c>
      <c r="R691" s="49">
        <f t="shared" si="421"/>
        <v>0</v>
      </c>
      <c r="S691" s="49">
        <f t="shared" si="421"/>
        <v>0</v>
      </c>
      <c r="T691" s="49">
        <f t="shared" si="418"/>
        <v>0</v>
      </c>
      <c r="U691" s="49">
        <f t="shared" si="419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0"/>
        <v>0</v>
      </c>
      <c r="M692" s="47">
        <f t="shared" si="420"/>
        <v>0</v>
      </c>
      <c r="N692" s="47">
        <f t="shared" si="420"/>
        <v>0</v>
      </c>
      <c r="O692" s="47">
        <f t="shared" si="415"/>
        <v>0</v>
      </c>
      <c r="P692" s="47">
        <f t="shared" si="416"/>
        <v>0</v>
      </c>
      <c r="Q692" s="47">
        <f t="shared" ca="1" si="421"/>
        <v>69540</v>
      </c>
      <c r="R692" s="47">
        <f t="shared" ca="1" si="421"/>
        <v>69540</v>
      </c>
      <c r="S692" s="47">
        <f t="shared" ca="1" si="421"/>
        <v>29700</v>
      </c>
      <c r="T692" s="47">
        <f t="shared" ca="1" si="418"/>
        <v>42.709232096635027</v>
      </c>
      <c r="U692" s="47">
        <f t="shared" ca="1" si="419"/>
        <v>42.709232096635027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2">L694+L695</f>
        <v>0</v>
      </c>
      <c r="M693" s="47">
        <f t="shared" si="422"/>
        <v>0</v>
      </c>
      <c r="N693" s="47">
        <f t="shared" si="422"/>
        <v>0</v>
      </c>
      <c r="O693" s="47">
        <f t="shared" si="415"/>
        <v>0</v>
      </c>
      <c r="P693" s="47">
        <f t="shared" si="416"/>
        <v>0</v>
      </c>
      <c r="Q693" s="47">
        <f t="shared" ref="Q693:S693" ca="1" si="423">Q694+Q695</f>
        <v>69540</v>
      </c>
      <c r="R693" s="47">
        <f t="shared" ca="1" si="423"/>
        <v>69540</v>
      </c>
      <c r="S693" s="47">
        <f t="shared" ca="1" si="423"/>
        <v>29700</v>
      </c>
      <c r="T693" s="47">
        <f t="shared" ca="1" si="418"/>
        <v>42.709232096635027</v>
      </c>
      <c r="U693" s="47">
        <f t="shared" ca="1" si="419"/>
        <v>42.709232096635027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5"/>
        <v>0</v>
      </c>
      <c r="P694" s="49">
        <f t="shared" si="416"/>
        <v>0</v>
      </c>
      <c r="Q694" s="49">
        <v>0</v>
      </c>
      <c r="R694" s="49">
        <v>0</v>
      </c>
      <c r="S694" s="49">
        <v>0</v>
      </c>
      <c r="T694" s="49">
        <f t="shared" si="418"/>
        <v>0</v>
      </c>
      <c r="U694" s="49">
        <f t="shared" si="419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5"/>
        <v>0</v>
      </c>
      <c r="P695" s="47">
        <f t="shared" si="416"/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IFERROR(__xludf.DUMMYFUNCTION("IMPORTRANGE(""https://docs.google.com/spreadsheets/d/1ItG2mGa2ceCfYo0BwxsXqNm01IGEUdYcSSLTEv9YCik/edit?usp=sharing"",""เบิกจ่ายกองทุน!N86"")"),29700)</f>
        <v>29700</v>
      </c>
      <c r="T695" s="47">
        <f t="shared" ca="1" si="418"/>
        <v>42.709232096635027</v>
      </c>
      <c r="U695" s="47">
        <f t="shared" ca="1" si="419"/>
        <v>42.709232096635027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4">L697+L698</f>
        <v>0</v>
      </c>
      <c r="M696" s="47">
        <f t="shared" si="424"/>
        <v>0</v>
      </c>
      <c r="N696" s="47">
        <f t="shared" si="424"/>
        <v>0</v>
      </c>
      <c r="O696" s="47">
        <f t="shared" si="415"/>
        <v>0</v>
      </c>
      <c r="P696" s="47">
        <f t="shared" si="416"/>
        <v>0</v>
      </c>
      <c r="Q696" s="47">
        <f t="shared" ref="Q696:S696" si="425">Q697+Q698</f>
        <v>0</v>
      </c>
      <c r="R696" s="47">
        <f t="shared" si="425"/>
        <v>0</v>
      </c>
      <c r="S696" s="47">
        <f t="shared" si="425"/>
        <v>0</v>
      </c>
      <c r="T696" s="47">
        <f t="shared" si="418"/>
        <v>0</v>
      </c>
      <c r="U696" s="47">
        <f t="shared" si="419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5"/>
        <v>0</v>
      </c>
      <c r="P697" s="49">
        <f t="shared" si="416"/>
        <v>0</v>
      </c>
      <c r="Q697" s="49">
        <v>0</v>
      </c>
      <c r="R697" s="49">
        <v>0</v>
      </c>
      <c r="S697" s="49">
        <v>0</v>
      </c>
      <c r="T697" s="49">
        <f t="shared" si="418"/>
        <v>0</v>
      </c>
      <c r="U697" s="49">
        <f t="shared" si="419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5"/>
        <v>0</v>
      </c>
      <c r="P698" s="47">
        <f t="shared" si="416"/>
        <v>0</v>
      </c>
      <c r="Q698" s="47">
        <v>0</v>
      </c>
      <c r="R698" s="47">
        <v>0</v>
      </c>
      <c r="S698" s="47">
        <v>0</v>
      </c>
      <c r="T698" s="47">
        <f t="shared" si="418"/>
        <v>0</v>
      </c>
      <c r="U698" s="47">
        <f t="shared" si="419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IFERROR(__xludf.DUMMYFUNCTION("IMPORTRANGE(""https://docs.google.com/spreadsheets/d/1eHaY18a8A9IcSdp1K8H6x8fbOy06t2VsZHhMHf-1x7Y/edit?usp=sharing"",""แผน!LC86"")"),0)</f>
        <v>0</v>
      </c>
      <c r="J700" s="169">
        <v>0</v>
      </c>
      <c r="K700" s="154">
        <f t="shared" ref="K700:K710" ca="1" si="426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7">I703+I705</f>
        <v>3</v>
      </c>
      <c r="J701" s="371">
        <f t="shared" ca="1" si="427"/>
        <v>2</v>
      </c>
      <c r="K701" s="133">
        <f t="shared" ca="1" si="426"/>
        <v>66.666666666666671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6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IFERROR(__xludf.DUMMYFUNCTION("IMPORTRANGE(""https://docs.google.com/spreadsheets/d/1eHaY18a8A9IcSdp1K8H6x8fbOy06t2VsZHhMHf-1x7Y/edit?usp=sharing"",""แผน!LJ86"")"),0)</f>
        <v>0</v>
      </c>
      <c r="J703" s="37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t="shared" ca="1" si="426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 t="shared" si="426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IFERROR(__xludf.DUMMYFUNCTION("IMPORTRANGE(""https://docs.google.com/spreadsheets/d/1eHaY18a8A9IcSdp1K8H6x8fbOy06t2VsZHhMHf-1x7Y/edit?usp=sharing"",""แผน!LK86"")"),3)</f>
        <v>3</v>
      </c>
      <c r="J705" s="372">
        <f ca="1">IFERROR(__xludf.DUMMYFUNCTION("IMPORTRANGE(""https://docs.google.com/spreadsheets/d/1tdoBKaGub7dwA3U6UFTqxio9LNnvDCQjHKmttSEBsFQ/edit?usp=sharing"",""จัดที่ดิน!AR86"")"),2)</f>
        <v>2</v>
      </c>
      <c r="K705" s="154">
        <f t="shared" ca="1" si="426"/>
        <v>66.666666666666671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 t="shared" si="426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IFERROR(__xludf.DUMMYFUNCTION("IMPORTRANGE(""https://docs.google.com/spreadsheets/d/1eHaY18a8A9IcSdp1K8H6x8fbOy06t2VsZHhMHf-1x7Y/edit?usp=sharing"",""แผน!LJ86"")"),0)</f>
        <v>0</v>
      </c>
      <c r="J707" s="37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t="shared" ca="1" si="426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 t="shared" si="426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IFERROR(__xludf.DUMMYFUNCTION("IMPORTRANGE(""https://docs.google.com/spreadsheets/d/1eHaY18a8A9IcSdp1K8H6x8fbOy06t2VsZHhMHf-1x7Y/edit?usp=sharing"",""แผน!LK86"")"),3)</f>
        <v>3</v>
      </c>
      <c r="J709" s="37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t="shared" ca="1" si="426"/>
        <v>66.666666666666671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 t="shared" si="426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8">L715+L716</f>
        <v>0</v>
      </c>
      <c r="M714" s="133">
        <f t="shared" si="428"/>
        <v>0</v>
      </c>
      <c r="N714" s="133">
        <f t="shared" si="428"/>
        <v>0</v>
      </c>
      <c r="O714" s="133">
        <f t="shared" ref="O714:O722" si="429">IF(L714&gt;0,N714*100/L714,0)</f>
        <v>0</v>
      </c>
      <c r="P714" s="133">
        <f t="shared" ref="P714:P722" si="430">IF(M714&gt;0,N714*100/M714,0)</f>
        <v>0</v>
      </c>
      <c r="Q714" s="133">
        <f t="shared" ref="Q714:S714" si="431">Q715+Q716</f>
        <v>0</v>
      </c>
      <c r="R714" s="133">
        <f t="shared" si="431"/>
        <v>0</v>
      </c>
      <c r="S714" s="133">
        <f t="shared" si="431"/>
        <v>0</v>
      </c>
      <c r="T714" s="133">
        <f t="shared" ref="T714:T722" si="432">IF(Q714&gt;0,S714*100/Q714,0)</f>
        <v>0</v>
      </c>
      <c r="U714" s="133">
        <f t="shared" ref="U714:U722" si="433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4">L718+L721</f>
        <v>0</v>
      </c>
      <c r="M715" s="49">
        <f t="shared" si="434"/>
        <v>0</v>
      </c>
      <c r="N715" s="49">
        <f t="shared" si="434"/>
        <v>0</v>
      </c>
      <c r="O715" s="49">
        <f t="shared" si="429"/>
        <v>0</v>
      </c>
      <c r="P715" s="49">
        <f t="shared" si="430"/>
        <v>0</v>
      </c>
      <c r="Q715" s="49">
        <f t="shared" ref="Q715:S716" si="435">Q718+Q721</f>
        <v>0</v>
      </c>
      <c r="R715" s="49">
        <f t="shared" si="435"/>
        <v>0</v>
      </c>
      <c r="S715" s="49">
        <f t="shared" si="435"/>
        <v>0</v>
      </c>
      <c r="T715" s="49">
        <f t="shared" si="432"/>
        <v>0</v>
      </c>
      <c r="U715" s="49">
        <f t="shared" si="433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4"/>
        <v>0</v>
      </c>
      <c r="M716" s="47">
        <f t="shared" si="434"/>
        <v>0</v>
      </c>
      <c r="N716" s="47">
        <f t="shared" si="434"/>
        <v>0</v>
      </c>
      <c r="O716" s="47">
        <f t="shared" si="429"/>
        <v>0</v>
      </c>
      <c r="P716" s="47">
        <f t="shared" si="430"/>
        <v>0</v>
      </c>
      <c r="Q716" s="47">
        <f t="shared" si="435"/>
        <v>0</v>
      </c>
      <c r="R716" s="47">
        <f t="shared" si="435"/>
        <v>0</v>
      </c>
      <c r="S716" s="47">
        <f t="shared" si="435"/>
        <v>0</v>
      </c>
      <c r="T716" s="47">
        <f t="shared" si="432"/>
        <v>0</v>
      </c>
      <c r="U716" s="47">
        <f t="shared" si="433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6">L718+L719</f>
        <v>0</v>
      </c>
      <c r="M717" s="47">
        <f t="shared" si="436"/>
        <v>0</v>
      </c>
      <c r="N717" s="47">
        <f t="shared" si="436"/>
        <v>0</v>
      </c>
      <c r="O717" s="47">
        <f t="shared" si="429"/>
        <v>0</v>
      </c>
      <c r="P717" s="47">
        <f t="shared" si="430"/>
        <v>0</v>
      </c>
      <c r="Q717" s="47">
        <f t="shared" ref="Q717:S717" si="437">Q718+Q719</f>
        <v>0</v>
      </c>
      <c r="R717" s="47">
        <f t="shared" si="437"/>
        <v>0</v>
      </c>
      <c r="S717" s="47">
        <f t="shared" si="437"/>
        <v>0</v>
      </c>
      <c r="T717" s="47">
        <f t="shared" si="432"/>
        <v>0</v>
      </c>
      <c r="U717" s="47">
        <f t="shared" si="433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9"/>
        <v>0</v>
      </c>
      <c r="P718" s="49">
        <f t="shared" si="430"/>
        <v>0</v>
      </c>
      <c r="Q718" s="49">
        <v>0</v>
      </c>
      <c r="R718" s="49">
        <v>0</v>
      </c>
      <c r="S718" s="49">
        <v>0</v>
      </c>
      <c r="T718" s="49">
        <f t="shared" si="432"/>
        <v>0</v>
      </c>
      <c r="U718" s="49">
        <f t="shared" si="433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9"/>
        <v>0</v>
      </c>
      <c r="P719" s="47">
        <f t="shared" si="430"/>
        <v>0</v>
      </c>
      <c r="Q719" s="47">
        <v>0</v>
      </c>
      <c r="R719" s="47">
        <v>0</v>
      </c>
      <c r="S719" s="47">
        <v>0</v>
      </c>
      <c r="T719" s="47">
        <f t="shared" si="432"/>
        <v>0</v>
      </c>
      <c r="U719" s="47">
        <f t="shared" si="433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8">L721+L722</f>
        <v>0</v>
      </c>
      <c r="M720" s="47">
        <f t="shared" si="438"/>
        <v>0</v>
      </c>
      <c r="N720" s="47">
        <f t="shared" si="438"/>
        <v>0</v>
      </c>
      <c r="O720" s="47">
        <f t="shared" si="429"/>
        <v>0</v>
      </c>
      <c r="P720" s="47">
        <f t="shared" si="430"/>
        <v>0</v>
      </c>
      <c r="Q720" s="47">
        <f t="shared" ref="Q720:S720" si="439">Q721+Q722</f>
        <v>0</v>
      </c>
      <c r="R720" s="47">
        <f t="shared" si="439"/>
        <v>0</v>
      </c>
      <c r="S720" s="47">
        <f t="shared" si="439"/>
        <v>0</v>
      </c>
      <c r="T720" s="47">
        <f t="shared" si="432"/>
        <v>0</v>
      </c>
      <c r="U720" s="47">
        <f t="shared" si="433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9"/>
        <v>0</v>
      </c>
      <c r="P721" s="49">
        <f t="shared" si="430"/>
        <v>0</v>
      </c>
      <c r="Q721" s="49">
        <v>0</v>
      </c>
      <c r="R721" s="49">
        <v>0</v>
      </c>
      <c r="S721" s="49">
        <v>0</v>
      </c>
      <c r="T721" s="49">
        <f t="shared" si="432"/>
        <v>0</v>
      </c>
      <c r="U721" s="49">
        <f t="shared" si="433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9"/>
        <v>0</v>
      </c>
      <c r="P722" s="47">
        <f t="shared" si="430"/>
        <v>0</v>
      </c>
      <c r="Q722" s="47">
        <v>0</v>
      </c>
      <c r="R722" s="47">
        <v>0</v>
      </c>
      <c r="S722" s="47">
        <v>0</v>
      </c>
      <c r="T722" s="47">
        <f t="shared" si="432"/>
        <v>0</v>
      </c>
      <c r="U722" s="47">
        <f t="shared" si="433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IFERROR(__xludf.DUMMYFUNCTION("IMPORTRANGE(""https://docs.google.com/spreadsheets/d/1eHaY18a8A9IcSdp1K8H6x8fbOy06t2VsZHhMHf-1x7Y/edit?usp=sharing"",""แผน!GA86"")"),11)</f>
        <v>11</v>
      </c>
      <c r="J726" s="504">
        <f>J742+J746+J749</f>
        <v>11</v>
      </c>
      <c r="K726" s="505">
        <f t="shared" ref="K726:K727" ca="1" si="440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IFERROR(__xludf.DUMMYFUNCTION("IMPORTRANGE(""https://docs.google.com/spreadsheets/d/1eHaY18a8A9IcSdp1K8H6x8fbOy06t2VsZHhMHf-1x7Y/edit?usp=sharing"",""แผน!FZ86"")"),100)</f>
        <v>100</v>
      </c>
      <c r="J727" s="504">
        <f>J752+J755</f>
        <v>100</v>
      </c>
      <c r="K727" s="505">
        <f t="shared" ca="1" si="440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1">L729+L730</f>
        <v>0</v>
      </c>
      <c r="M728" s="133">
        <f t="shared" si="441"/>
        <v>0</v>
      </c>
      <c r="N728" s="133">
        <f t="shared" si="441"/>
        <v>0</v>
      </c>
      <c r="O728" s="133">
        <f t="shared" ref="O728:O736" si="442">IF(L728&gt;0,N728*100/L728,0)</f>
        <v>0</v>
      </c>
      <c r="P728" s="133">
        <f t="shared" ref="P728:P736" si="443">IF(M728&gt;0,N728*100/M728,0)</f>
        <v>0</v>
      </c>
      <c r="Q728" s="133">
        <f t="shared" ref="Q728:S728" ca="1" si="444">Q729+Q730</f>
        <v>111882</v>
      </c>
      <c r="R728" s="133">
        <f t="shared" ca="1" si="444"/>
        <v>111882</v>
      </c>
      <c r="S728" s="133">
        <f t="shared" ca="1" si="444"/>
        <v>110502</v>
      </c>
      <c r="T728" s="133">
        <f t="shared" ref="T728:T736" ca="1" si="445">IF(Q728&gt;0,S728*100/Q728,0)</f>
        <v>98.766557623210161</v>
      </c>
      <c r="U728" s="133">
        <f t="shared" ref="U728:U736" ca="1" si="446">IF(R728&gt;0,S728*100/R728,0)</f>
        <v>98.766557623210161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7">L732+L735</f>
        <v>0</v>
      </c>
      <c r="M729" s="49">
        <f t="shared" si="447"/>
        <v>0</v>
      </c>
      <c r="N729" s="49">
        <f t="shared" si="447"/>
        <v>0</v>
      </c>
      <c r="O729" s="49">
        <f t="shared" si="442"/>
        <v>0</v>
      </c>
      <c r="P729" s="49">
        <f t="shared" si="443"/>
        <v>0</v>
      </c>
      <c r="Q729" s="49">
        <f t="shared" ref="Q729:S730" si="448">Q732+Q735</f>
        <v>0</v>
      </c>
      <c r="R729" s="49">
        <f t="shared" si="448"/>
        <v>0</v>
      </c>
      <c r="S729" s="49">
        <f t="shared" si="448"/>
        <v>0</v>
      </c>
      <c r="T729" s="49">
        <f t="shared" si="445"/>
        <v>0</v>
      </c>
      <c r="U729" s="49">
        <f t="shared" si="446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7"/>
        <v>0</v>
      </c>
      <c r="M730" s="47">
        <f t="shared" si="447"/>
        <v>0</v>
      </c>
      <c r="N730" s="47">
        <f t="shared" si="447"/>
        <v>0</v>
      </c>
      <c r="O730" s="47">
        <f t="shared" si="442"/>
        <v>0</v>
      </c>
      <c r="P730" s="47">
        <f t="shared" si="443"/>
        <v>0</v>
      </c>
      <c r="Q730" s="47">
        <f t="shared" ca="1" si="448"/>
        <v>111882</v>
      </c>
      <c r="R730" s="47">
        <f t="shared" ca="1" si="448"/>
        <v>111882</v>
      </c>
      <c r="S730" s="47">
        <f t="shared" ca="1" si="448"/>
        <v>110502</v>
      </c>
      <c r="T730" s="47">
        <f t="shared" ca="1" si="445"/>
        <v>98.766557623210161</v>
      </c>
      <c r="U730" s="47">
        <f t="shared" ca="1" si="446"/>
        <v>98.766557623210161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9">L732+L733</f>
        <v>0</v>
      </c>
      <c r="M731" s="47">
        <f t="shared" si="449"/>
        <v>0</v>
      </c>
      <c r="N731" s="47">
        <f t="shared" si="449"/>
        <v>0</v>
      </c>
      <c r="O731" s="47">
        <f t="shared" si="442"/>
        <v>0</v>
      </c>
      <c r="P731" s="47">
        <f t="shared" si="443"/>
        <v>0</v>
      </c>
      <c r="Q731" s="47">
        <f t="shared" ref="Q731:S731" ca="1" si="450">Q732+Q733</f>
        <v>111882</v>
      </c>
      <c r="R731" s="47">
        <f t="shared" ca="1" si="450"/>
        <v>111882</v>
      </c>
      <c r="S731" s="47">
        <f t="shared" ca="1" si="450"/>
        <v>110502</v>
      </c>
      <c r="T731" s="47">
        <f t="shared" ca="1" si="445"/>
        <v>98.766557623210161</v>
      </c>
      <c r="U731" s="47">
        <f t="shared" ca="1" si="446"/>
        <v>98.766557623210161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2"/>
        <v>0</v>
      </c>
      <c r="P732" s="49">
        <f t="shared" si="443"/>
        <v>0</v>
      </c>
      <c r="Q732" s="49">
        <v>0</v>
      </c>
      <c r="R732" s="49">
        <v>0</v>
      </c>
      <c r="S732" s="49">
        <v>0</v>
      </c>
      <c r="T732" s="49">
        <f t="shared" si="445"/>
        <v>0</v>
      </c>
      <c r="U732" s="49">
        <f t="shared" si="446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2"/>
        <v>0</v>
      </c>
      <c r="P733" s="47">
        <f t="shared" si="443"/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IFERROR(__xludf.DUMMYFUNCTION("IMPORTRANGE(""https://docs.google.com/spreadsheets/d/1ItG2mGa2ceCfYo0BwxsXqNm01IGEUdYcSSLTEv9YCik/edit?usp=sharing"",""เบิกจ่ายกองทุน!Q86"")"),110502)</f>
        <v>110502</v>
      </c>
      <c r="T733" s="47">
        <f t="shared" ca="1" si="445"/>
        <v>98.766557623210161</v>
      </c>
      <c r="U733" s="47">
        <f t="shared" ca="1" si="446"/>
        <v>98.766557623210161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1">L735+L736</f>
        <v>0</v>
      </c>
      <c r="M734" s="47">
        <f t="shared" si="451"/>
        <v>0</v>
      </c>
      <c r="N734" s="47">
        <f t="shared" si="451"/>
        <v>0</v>
      </c>
      <c r="O734" s="47">
        <f t="shared" si="442"/>
        <v>0</v>
      </c>
      <c r="P734" s="47">
        <f t="shared" si="443"/>
        <v>0</v>
      </c>
      <c r="Q734" s="47">
        <f t="shared" ref="Q734:S734" si="452">Q735+Q736</f>
        <v>0</v>
      </c>
      <c r="R734" s="47">
        <f t="shared" si="452"/>
        <v>0</v>
      </c>
      <c r="S734" s="47">
        <f t="shared" si="452"/>
        <v>0</v>
      </c>
      <c r="T734" s="47">
        <f t="shared" si="445"/>
        <v>0</v>
      </c>
      <c r="U734" s="47">
        <f t="shared" si="446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2"/>
        <v>0</v>
      </c>
      <c r="P735" s="49">
        <f t="shared" si="443"/>
        <v>0</v>
      </c>
      <c r="Q735" s="49">
        <v>0</v>
      </c>
      <c r="R735" s="49">
        <v>0</v>
      </c>
      <c r="S735" s="49">
        <v>0</v>
      </c>
      <c r="T735" s="49">
        <f t="shared" si="445"/>
        <v>0</v>
      </c>
      <c r="U735" s="49">
        <f t="shared" si="446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2"/>
        <v>0</v>
      </c>
      <c r="P736" s="47">
        <f t="shared" si="443"/>
        <v>0</v>
      </c>
      <c r="Q736" s="47">
        <v>0</v>
      </c>
      <c r="R736" s="47">
        <v>0</v>
      </c>
      <c r="S736" s="47">
        <v>0</v>
      </c>
      <c r="T736" s="47">
        <f t="shared" si="445"/>
        <v>0</v>
      </c>
      <c r="U736" s="47">
        <f t="shared" si="446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IFERROR(__xludf.DUMMYFUNCTION("IMPORTRANGE(""https://docs.google.com/spreadsheets/d/1eHaY18a8A9IcSdp1K8H6x8fbOy06t2VsZHhMHf-1x7Y/edit?usp=sharing"",""แผน!GB86"")"),80)</f>
        <v>80</v>
      </c>
      <c r="J740" s="795">
        <v>80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8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IFERROR(__xludf.DUMMYFUNCTION("IMPORTRANGE(""https://docs.google.com/spreadsheets/d/1eHaY18a8A9IcSdp1K8H6x8fbOy06t2VsZHhMHf-1x7Y/edit?usp=sharing"",""แผน!GC86"")"),8)</f>
        <v>8</v>
      </c>
      <c r="J742" s="795">
        <v>8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IFERROR(__xludf.DUMMYFUNCTION("IMPORTRANGE(""https://docs.google.com/spreadsheets/d/1eHaY18a8A9IcSdp1K8H6x8fbOy06t2VsZHhMHf-1x7Y/edit?usp=sharing"",""แผน!GD86"")"),20)</f>
        <v>20</v>
      </c>
      <c r="J744" s="795">
        <v>20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2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IFERROR(__xludf.DUMMYFUNCTION("IMPORTRANGE(""https://docs.google.com/spreadsheets/d/1eHaY18a8A9IcSdp1K8H6x8fbOy06t2VsZHhMHf-1x7Y/edit?usp=sharing"",""แผน!GE86"")"),2)</f>
        <v>2</v>
      </c>
      <c r="J746" s="795">
        <v>2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1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IFERROR(__xludf.DUMMYFUNCTION("IMPORTRANGE(""https://docs.google.com/spreadsheets/d/1eHaY18a8A9IcSdp1K8H6x8fbOy06t2VsZHhMHf-1x7Y/edit?usp=sharing"",""แผน!GF86"")"),1)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IFERROR(__xludf.DUMMYFUNCTION("IMPORTRANGE(""https://docs.google.com/spreadsheets/d/1eHaY18a8A9IcSdp1K8H6x8fbOy06t2VsZHhMHf-1x7Y/edit?usp=sharing"",""แผน!GB86"")"),80)</f>
        <v>80</v>
      </c>
      <c r="J752" s="795">
        <v>80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/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IFERROR(__xludf.DUMMYFUNCTION("IMPORTRANGE(""https://docs.google.com/spreadsheets/d/1eHaY18a8A9IcSdp1K8H6x8fbOy06t2VsZHhMHf-1x7Y/edit?usp=sharing"",""แผน!GD86"")"),20)</f>
        <v>20</v>
      </c>
      <c r="J755" s="795">
        <v>20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20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2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hidden="1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3">I772</f>
        <v>0</v>
      </c>
      <c r="J758" s="504">
        <f t="shared" si="453"/>
        <v>0</v>
      </c>
      <c r="K758" s="505">
        <f t="shared" ref="K758:K759" ca="1" si="454">IF(I758&gt;0,J758*100/I758,0)</f>
        <v>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hidden="1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5">I774</f>
        <v>0</v>
      </c>
      <c r="J759" s="504">
        <f t="shared" si="455"/>
        <v>0</v>
      </c>
      <c r="K759" s="505">
        <f t="shared" ca="1" si="454"/>
        <v>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hidden="1" x14ac:dyDescent="0.3">
      <c r="A760" s="129"/>
      <c r="B760" s="160"/>
      <c r="C760" s="191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6">L761+L762</f>
        <v>0</v>
      </c>
      <c r="M760" s="133">
        <f t="shared" si="456"/>
        <v>0</v>
      </c>
      <c r="N760" s="133">
        <f t="shared" si="456"/>
        <v>0</v>
      </c>
      <c r="O760" s="133">
        <f t="shared" ref="O760:O768" si="457">IF(L760&gt;0,N760*100/L760,0)</f>
        <v>0</v>
      </c>
      <c r="P760" s="133">
        <f t="shared" ref="P760:P768" si="458">IF(M760&gt;0,N760*100/M760,0)</f>
        <v>0</v>
      </c>
      <c r="Q760" s="133">
        <f t="shared" ref="Q760:S760" ca="1" si="459">Q761+Q762</f>
        <v>0</v>
      </c>
      <c r="R760" s="133">
        <f t="shared" ca="1" si="459"/>
        <v>0</v>
      </c>
      <c r="S760" s="133">
        <f t="shared" ca="1" si="459"/>
        <v>0</v>
      </c>
      <c r="T760" s="133">
        <f t="shared" ref="T760:T768" ca="1" si="460">IF(Q760&gt;0,S760*100/Q760,0)</f>
        <v>0</v>
      </c>
      <c r="U760" s="133">
        <f t="shared" ref="U760:U768" ca="1" si="461">IF(R760&gt;0,S760*100/R760,0)</f>
        <v>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2">L764+L767</f>
        <v>0</v>
      </c>
      <c r="M761" s="49">
        <f t="shared" si="462"/>
        <v>0</v>
      </c>
      <c r="N761" s="49">
        <f t="shared" si="462"/>
        <v>0</v>
      </c>
      <c r="O761" s="49">
        <f t="shared" si="457"/>
        <v>0</v>
      </c>
      <c r="P761" s="49">
        <f t="shared" si="458"/>
        <v>0</v>
      </c>
      <c r="Q761" s="49">
        <f t="shared" ref="Q761:S762" si="463">Q764+Q767</f>
        <v>0</v>
      </c>
      <c r="R761" s="49">
        <f t="shared" si="463"/>
        <v>0</v>
      </c>
      <c r="S761" s="49">
        <f t="shared" si="463"/>
        <v>0</v>
      </c>
      <c r="T761" s="49">
        <f t="shared" si="460"/>
        <v>0</v>
      </c>
      <c r="U761" s="49">
        <f t="shared" si="461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2"/>
        <v>0</v>
      </c>
      <c r="M762" s="47">
        <f t="shared" si="462"/>
        <v>0</v>
      </c>
      <c r="N762" s="47">
        <f t="shared" si="462"/>
        <v>0</v>
      </c>
      <c r="O762" s="47">
        <f t="shared" si="457"/>
        <v>0</v>
      </c>
      <c r="P762" s="47">
        <f t="shared" si="458"/>
        <v>0</v>
      </c>
      <c r="Q762" s="47">
        <f t="shared" ca="1" si="463"/>
        <v>0</v>
      </c>
      <c r="R762" s="47">
        <f t="shared" ca="1" si="463"/>
        <v>0</v>
      </c>
      <c r="S762" s="47">
        <f t="shared" ca="1" si="463"/>
        <v>0</v>
      </c>
      <c r="T762" s="47">
        <f t="shared" ca="1" si="460"/>
        <v>0</v>
      </c>
      <c r="U762" s="47">
        <f t="shared" ca="1" si="461"/>
        <v>0</v>
      </c>
    </row>
    <row r="763" spans="1:21" ht="18.75" hidden="1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4">L764+L765</f>
        <v>0</v>
      </c>
      <c r="M763" s="47">
        <f t="shared" si="464"/>
        <v>0</v>
      </c>
      <c r="N763" s="47">
        <f t="shared" si="464"/>
        <v>0</v>
      </c>
      <c r="O763" s="47">
        <f t="shared" si="457"/>
        <v>0</v>
      </c>
      <c r="P763" s="47">
        <f t="shared" si="458"/>
        <v>0</v>
      </c>
      <c r="Q763" s="47">
        <f t="shared" ref="Q763:S763" ca="1" si="465">Q764+Q765</f>
        <v>0</v>
      </c>
      <c r="R763" s="47">
        <f t="shared" ca="1" si="465"/>
        <v>0</v>
      </c>
      <c r="S763" s="47">
        <f t="shared" ca="1" si="465"/>
        <v>0</v>
      </c>
      <c r="T763" s="47">
        <f t="shared" ca="1" si="460"/>
        <v>0</v>
      </c>
      <c r="U763" s="47">
        <f t="shared" ca="1" si="461"/>
        <v>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7"/>
        <v>0</v>
      </c>
      <c r="P764" s="49">
        <f t="shared" si="458"/>
        <v>0</v>
      </c>
      <c r="Q764" s="49">
        <v>0</v>
      </c>
      <c r="R764" s="49">
        <v>0</v>
      </c>
      <c r="S764" s="49">
        <v>0</v>
      </c>
      <c r="T764" s="49">
        <f t="shared" si="460"/>
        <v>0</v>
      </c>
      <c r="U764" s="49">
        <f t="shared" si="461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7"/>
        <v>0</v>
      </c>
      <c r="P765" s="47">
        <f t="shared" si="458"/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t="shared" ca="1" si="460"/>
        <v>0</v>
      </c>
      <c r="U765" s="47">
        <f t="shared" ca="1" si="461"/>
        <v>0</v>
      </c>
    </row>
    <row r="766" spans="1:21" ht="18.75" hidden="1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6">L767+L768</f>
        <v>0</v>
      </c>
      <c r="M766" s="47">
        <f t="shared" si="466"/>
        <v>0</v>
      </c>
      <c r="N766" s="47">
        <f t="shared" si="466"/>
        <v>0</v>
      </c>
      <c r="O766" s="47">
        <f t="shared" si="457"/>
        <v>0</v>
      </c>
      <c r="P766" s="47">
        <f t="shared" si="458"/>
        <v>0</v>
      </c>
      <c r="Q766" s="47">
        <f t="shared" ref="Q766:S766" si="467">Q767+Q768</f>
        <v>0</v>
      </c>
      <c r="R766" s="47">
        <f t="shared" si="467"/>
        <v>0</v>
      </c>
      <c r="S766" s="47">
        <f t="shared" si="467"/>
        <v>0</v>
      </c>
      <c r="T766" s="47">
        <f t="shared" si="460"/>
        <v>0</v>
      </c>
      <c r="U766" s="47">
        <f t="shared" si="461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7"/>
        <v>0</v>
      </c>
      <c r="P767" s="49">
        <f t="shared" si="458"/>
        <v>0</v>
      </c>
      <c r="Q767" s="49">
        <v>0</v>
      </c>
      <c r="R767" s="49">
        <v>0</v>
      </c>
      <c r="S767" s="49">
        <v>0</v>
      </c>
      <c r="T767" s="49">
        <f t="shared" si="460"/>
        <v>0</v>
      </c>
      <c r="U767" s="49">
        <f t="shared" si="461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7"/>
        <v>0</v>
      </c>
      <c r="P768" s="47">
        <f t="shared" si="458"/>
        <v>0</v>
      </c>
      <c r="Q768" s="47">
        <v>0</v>
      </c>
      <c r="R768" s="47">
        <v>0</v>
      </c>
      <c r="S768" s="47">
        <v>0</v>
      </c>
      <c r="T768" s="47">
        <f t="shared" si="460"/>
        <v>0</v>
      </c>
      <c r="U768" s="47">
        <f t="shared" si="461"/>
        <v>0</v>
      </c>
    </row>
    <row r="769" spans="1:21" ht="19.5" hidden="1" x14ac:dyDescent="0.3">
      <c r="A769" s="139"/>
      <c r="B769" s="140"/>
      <c r="C769" s="525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IFERROR(__xludf.DUMMYFUNCTION("IMPORTRANGE(""https://docs.google.com/spreadsheets/d/1eHaY18a8A9IcSdp1K8H6x8fbOy06t2VsZHhMHf-1x7Y/edit?usp=sharing"",""แผน!FI86"")"),1)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IFERROR(__xludf.DUMMYFUNCTION("IMPORTRANGE(""https://docs.google.com/spreadsheets/d/1eHaY18a8A9IcSdp1K8H6x8fbOy06t2VsZHhMHf-1x7Y/edit?usp=sharing"",""แผน!FQ86"")"),0)</f>
        <v>0</v>
      </c>
      <c r="J772" s="169">
        <v>0</v>
      </c>
      <c r="K772" s="47">
        <f ca="1">IF(I772&gt;0,J772*100/I772,0)</f>
        <v>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IFERROR(__xludf.DUMMYFUNCTION("IMPORTRANGE(""https://docs.google.com/spreadsheets/d/1eHaY18a8A9IcSdp1K8H6x8fbOy06t2VsZHhMHf-1x7Y/edit?usp=sharing"",""แผน!FR86"")"),0)</f>
        <v>0</v>
      </c>
      <c r="J774" s="169">
        <v>0</v>
      </c>
      <c r="K774" s="47">
        <f ca="1">IF(I774&gt;0,J774*100/I774,0)</f>
        <v>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IFERROR(__xludf.DUMMYFUNCTION("IMPORTRANGE(""https://docs.google.com/spreadsheets/d/1eHaY18a8A9IcSdp1K8H6x8fbOy06t2VsZHhMHf-1x7Y/edit?usp=sharing"",""แผน!FS86"")"),0)</f>
        <v>0</v>
      </c>
      <c r="J775" s="169">
        <v>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IFERROR(__xludf.DUMMYFUNCTION("IMPORTRANGE(""https://docs.google.com/spreadsheets/d/1eHaY18a8A9IcSdp1K8H6x8fbOy06t2VsZHhMHf-1x7Y/edit?usp=sharing"",""แผน!FT86"")"),0)</f>
        <v>0</v>
      </c>
      <c r="J776" s="378">
        <v>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IFERROR(__xludf.DUMMYFUNCTION("IMPORTRANGE(""https://docs.google.com/spreadsheets/d/10OvvATaaLtwErnr3qtWFcTmtbfpFEt5Bsqel9sXx0uE/edit?usp=sharing"",""งานกองทุน!D86"")"),2529899.87)</f>
        <v>2529899.87</v>
      </c>
      <c r="J778" s="372">
        <f ca="1">IFERROR(__xludf.DUMMYFUNCTION("IMPORTRANGE(""https://docs.google.com/spreadsheets/d/10OvvATaaLtwErnr3qtWFcTmtbfpFEt5Bsqel9sXx0uE/edit?usp=sharing"",""งานกองทุน!F86"")"),2207149.79)</f>
        <v>2207149.79</v>
      </c>
      <c r="K778" s="47">
        <f t="shared" ref="K778:K785" ca="1" si="468">IF(I778&gt;0,J778*100/I778,0)</f>
        <v>87.242574940327572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IFERROR(__xludf.DUMMYFUNCTION("IMPORTRANGE(""https://docs.google.com/spreadsheets/d/10OvvATaaLtwErnr3qtWFcTmtbfpFEt5Bsqel9sXx0uE/edit?usp=sharing"",""งานกองทุน!C86"")"),188)</f>
        <v>188</v>
      </c>
      <c r="J779" s="372">
        <f ca="1">IFERROR(__xludf.DUMMYFUNCTION("IMPORTRANGE(""https://docs.google.com/spreadsheets/d/10OvvATaaLtwErnr3qtWFcTmtbfpFEt5Bsqel9sXx0uE/edit?usp=sharing"",""งานกองทุน!E86"")"),182)</f>
        <v>182</v>
      </c>
      <c r="K779" s="47">
        <f t="shared" ca="1" si="468"/>
        <v>96.808510638297875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372">
        <f ca="1">IFERROR(__xludf.DUMMYFUNCTION("IMPORTRANGE(""https://docs.google.com/spreadsheets/d/10OvvATaaLtwErnr3qtWFcTmtbfpFEt5Bsqel9sXx0uE/edit?usp=sharing"",""งานกองทุน!K86"")"),603470.06)</f>
        <v>603470.06000000006</v>
      </c>
      <c r="K780" s="47">
        <f t="shared" ca="1" si="468"/>
        <v>22.322207905872979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IFERROR(__xludf.DUMMYFUNCTION("IMPORTRANGE(""https://docs.google.com/spreadsheets/d/10OvvATaaLtwErnr3qtWFcTmtbfpFEt5Bsqel9sXx0uE/edit?usp=sharing"",""งานกองทุน!H86"")"),99)</f>
        <v>99</v>
      </c>
      <c r="J781" s="372">
        <f ca="1">IFERROR(__xludf.DUMMYFUNCTION("IMPORTRANGE(""https://docs.google.com/spreadsheets/d/10OvvATaaLtwErnr3qtWFcTmtbfpFEt5Bsqel9sXx0uE/edit?usp=sharing"",""งานกองทุน!J86"")"),75)</f>
        <v>75</v>
      </c>
      <c r="K781" s="47">
        <f t="shared" ca="1" si="468"/>
        <v>75.757575757575751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IFERROR(__xludf.DUMMYFUNCTION("IMPORTRANGE(""https://docs.google.com/spreadsheets/d/10OvvATaaLtwErnr3qtWFcTmtbfpFEt5Bsqel9sXx0uE/edit?usp=sharing"",""งานกองทุน!N86"")"),0)</f>
        <v>0</v>
      </c>
      <c r="J782" s="37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t="shared" ca="1" si="468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IFERROR(__xludf.DUMMYFUNCTION("IMPORTRANGE(""https://docs.google.com/spreadsheets/d/10OvvATaaLtwErnr3qtWFcTmtbfpFEt5Bsqel9sXx0uE/edit?usp=sharing"",""งานกองทุน!M86"")"),0)</f>
        <v>0</v>
      </c>
      <c r="J783" s="37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t="shared" ca="1" si="468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IFERROR(__xludf.DUMMYFUNCTION("IMPORTRANGE(""https://docs.google.com/spreadsheets/d/10OvvATaaLtwErnr3qtWFcTmtbfpFEt5Bsqel9sXx0uE/edit?usp=sharing"",""งานกองทุน!S86"")"),1848000)</f>
        <v>1848000</v>
      </c>
      <c r="J784" s="372">
        <f ca="1">IFERROR(__xludf.DUMMYFUNCTION("IMPORTRANGE(""https://docs.google.com/spreadsheets/d/10OvvATaaLtwErnr3qtWFcTmtbfpFEt5Bsqel9sXx0uE/edit?usp=sharing"",""งานกองทุน!U86"")"),3300000)</f>
        <v>3300000</v>
      </c>
      <c r="K784" s="47">
        <f t="shared" ca="1" si="468"/>
        <v>178.57142857142858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IFERROR(__xludf.DUMMYFUNCTION("IMPORTRANGE(""https://docs.google.com/spreadsheets/d/10OvvATaaLtwErnr3qtWFcTmtbfpFEt5Bsqel9sXx0uE/edit?usp=sharing"",""งานกองทุน!R86"")"),66)</f>
        <v>66</v>
      </c>
      <c r="J785" s="205">
        <f ca="1">IFERROR(__xludf.DUMMYFUNCTION("IMPORTRANGE(""https://docs.google.com/spreadsheets/d/10OvvATaaLtwErnr3qtWFcTmtbfpFEt5Bsqel9sXx0uE/edit?usp=sharing"",""งานกองทุน!T86"")"),66)</f>
        <v>66</v>
      </c>
      <c r="K785" s="111">
        <f t="shared" ca="1" si="468"/>
        <v>100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G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landscape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E7E69-AD75-4AA7-97BA-CC9211537442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332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1692740</v>
      </c>
      <c r="M18" s="35">
        <f t="shared" ca="1" si="0"/>
        <v>1893580</v>
      </c>
      <c r="N18" s="35">
        <f t="shared" ca="1" si="0"/>
        <v>1787208.47</v>
      </c>
      <c r="O18" s="35">
        <f t="shared" ref="O18:O26" ca="1" si="1">IF(L18&gt;0,N18*100/L18,0)</f>
        <v>105.58080213145551</v>
      </c>
      <c r="P18" s="35">
        <f t="shared" ref="P18:P26" ca="1" si="2">IF(M18&gt;0,N18*100/M18,0)</f>
        <v>94.382517242471934</v>
      </c>
      <c r="Q18" s="35">
        <f t="shared" ref="Q18:S18" ca="1" si="3">Q19+Q20</f>
        <v>736960.22</v>
      </c>
      <c r="R18" s="35">
        <f t="shared" ca="1" si="3"/>
        <v>606944.04999999993</v>
      </c>
      <c r="S18" s="35">
        <f t="shared" ca="1" si="3"/>
        <v>592603.65</v>
      </c>
      <c r="T18" s="35">
        <f t="shared" ref="T18:T26" ca="1" si="4">IF(Q18&gt;0,S18*100/Q18,0)</f>
        <v>80.411891160149736</v>
      </c>
      <c r="U18" s="35">
        <f t="shared" ref="U18:U26" ca="1" si="5">IF(R18&gt;0,S18*100/R18,0)</f>
        <v>97.637278098368384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1692740</v>
      </c>
      <c r="M20" s="39">
        <f t="shared" ca="1" si="6"/>
        <v>1893580</v>
      </c>
      <c r="N20" s="39">
        <f t="shared" ca="1" si="6"/>
        <v>1787208.47</v>
      </c>
      <c r="O20" s="39">
        <f t="shared" ca="1" si="1"/>
        <v>105.58080213145551</v>
      </c>
      <c r="P20" s="39">
        <f t="shared" ca="1" si="2"/>
        <v>94.382517242471934</v>
      </c>
      <c r="Q20" s="39">
        <f t="shared" ca="1" si="7"/>
        <v>736960.22</v>
      </c>
      <c r="R20" s="39">
        <f t="shared" ca="1" si="7"/>
        <v>606944.04999999993</v>
      </c>
      <c r="S20" s="39">
        <f t="shared" ca="1" si="7"/>
        <v>592603.65</v>
      </c>
      <c r="T20" s="39">
        <f t="shared" ca="1" si="4"/>
        <v>80.411891160149736</v>
      </c>
      <c r="U20" s="39">
        <f t="shared" ca="1" si="5"/>
        <v>97.637278098368384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1692740</v>
      </c>
      <c r="M21" s="47">
        <f t="shared" ca="1" si="8"/>
        <v>1893580</v>
      </c>
      <c r="N21" s="47">
        <f t="shared" ca="1" si="8"/>
        <v>1787208.47</v>
      </c>
      <c r="O21" s="47">
        <f t="shared" ca="1" si="1"/>
        <v>105.58080213145551</v>
      </c>
      <c r="P21" s="47">
        <f t="shared" ca="1" si="2"/>
        <v>94.382517242471934</v>
      </c>
      <c r="Q21" s="47">
        <f t="shared" ref="Q21:S21" ca="1" si="9">Q22+Q23</f>
        <v>736960.22</v>
      </c>
      <c r="R21" s="47">
        <f t="shared" ca="1" si="9"/>
        <v>606944.04999999993</v>
      </c>
      <c r="S21" s="47">
        <f t="shared" ca="1" si="9"/>
        <v>592603.65</v>
      </c>
      <c r="T21" s="47">
        <f t="shared" ca="1" si="4"/>
        <v>80.411891160149736</v>
      </c>
      <c r="U21" s="47">
        <f t="shared" ca="1" si="5"/>
        <v>97.637278098368384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1692740</v>
      </c>
      <c r="M23" s="47">
        <f t="shared" ca="1" si="12"/>
        <v>1893580</v>
      </c>
      <c r="N23" s="47">
        <f t="shared" ca="1" si="12"/>
        <v>1787208.47</v>
      </c>
      <c r="O23" s="47">
        <f t="shared" ca="1" si="1"/>
        <v>105.58080213145551</v>
      </c>
      <c r="P23" s="47">
        <f t="shared" ca="1" si="2"/>
        <v>94.382517242471934</v>
      </c>
      <c r="Q23" s="47">
        <f t="shared" ca="1" si="11"/>
        <v>736960.22</v>
      </c>
      <c r="R23" s="47">
        <f t="shared" ca="1" si="11"/>
        <v>606944.04999999993</v>
      </c>
      <c r="S23" s="47">
        <f t="shared" ca="1" si="11"/>
        <v>592603.65</v>
      </c>
      <c r="T23" s="47">
        <f t="shared" ca="1" si="4"/>
        <v>80.411891160149736</v>
      </c>
      <c r="U23" s="47">
        <f t="shared" ca="1" si="5"/>
        <v>97.637278098368384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0</v>
      </c>
      <c r="N24" s="47">
        <f t="shared" ca="1" si="13"/>
        <v>0</v>
      </c>
      <c r="O24" s="47">
        <f t="shared" ca="1" si="1"/>
        <v>0</v>
      </c>
      <c r="P24" s="47">
        <f t="shared" ca="1" si="2"/>
        <v>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0</v>
      </c>
      <c r="M26" s="47">
        <f t="shared" ca="1" si="17"/>
        <v>0</v>
      </c>
      <c r="N26" s="47">
        <f t="shared" ca="1" si="17"/>
        <v>0</v>
      </c>
      <c r="O26" s="47">
        <f t="shared" ca="1" si="1"/>
        <v>0</v>
      </c>
      <c r="P26" s="47">
        <f t="shared" ca="1" si="2"/>
        <v>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1675180</v>
      </c>
      <c r="M40" s="594">
        <f t="shared" ca="1" si="18"/>
        <v>1876020</v>
      </c>
      <c r="N40" s="594">
        <f t="shared" ca="1" si="18"/>
        <v>1769648.47</v>
      </c>
      <c r="O40" s="594">
        <f ca="1">IF(L40&gt;0,N40*100/L40,0)</f>
        <v>105.63930264210413</v>
      </c>
      <c r="P40" s="594">
        <f ca="1">IF(M40&gt;0,N40*100/M40,0)</f>
        <v>94.32993624801442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339300</v>
      </c>
      <c r="M44" s="79">
        <f t="shared" ca="1" si="19"/>
        <v>445230</v>
      </c>
      <c r="N44" s="79">
        <f t="shared" ca="1" si="19"/>
        <v>435230</v>
      </c>
      <c r="O44" s="79">
        <f t="shared" ref="O44:O52" ca="1" si="20">IF(L44&gt;0,N44*100/L44,0)</f>
        <v>128.27291482463897</v>
      </c>
      <c r="P44" s="79">
        <f t="shared" ref="P44:P52" ca="1" si="21">IF(M44&gt;0,N44*100/M44,0)</f>
        <v>97.753969858275497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339300</v>
      </c>
      <c r="M46" s="83">
        <f t="shared" ca="1" si="25"/>
        <v>445230</v>
      </c>
      <c r="N46" s="83">
        <f t="shared" ca="1" si="25"/>
        <v>435230</v>
      </c>
      <c r="O46" s="83">
        <f t="shared" ca="1" si="20"/>
        <v>128.27291482463897</v>
      </c>
      <c r="P46" s="83">
        <f t="shared" ca="1" si="21"/>
        <v>97.753969858275497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339300</v>
      </c>
      <c r="M47" s="47">
        <f t="shared" ca="1" si="27"/>
        <v>445230</v>
      </c>
      <c r="N47" s="47">
        <f t="shared" ca="1" si="27"/>
        <v>435230</v>
      </c>
      <c r="O47" s="47">
        <f t="shared" ca="1" si="20"/>
        <v>128.27291482463897</v>
      </c>
      <c r="P47" s="47">
        <f t="shared" ca="1" si="21"/>
        <v>97.753969858275497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IFERROR(__xludf.DUMMYFUNCTION("IMPORTRANGE(""https://docs.google.com/spreadsheets/d/1-uDff_7J0KD5mKrp0Vvzr7lt3OU09vwQwhkpOPPYv2Y/edit?usp=sharing"",""งบพรบ!V87"")"),445230)</f>
        <v>445230</v>
      </c>
      <c r="N49" s="47">
        <f ca="1">IFERROR(__xludf.DUMMYFUNCTION("IMPORTRANGE(""https://docs.google.com/spreadsheets/d/1-uDff_7J0KD5mKrp0Vvzr7lt3OU09vwQwhkpOPPYv2Y/edit?usp=sharing"",""งบพรบ!Y87"")"),435230)</f>
        <v>435230</v>
      </c>
      <c r="O49" s="47">
        <f t="shared" ca="1" si="20"/>
        <v>128.27291482463897</v>
      </c>
      <c r="P49" s="47">
        <f t="shared" ca="1" si="21"/>
        <v>97.753969858275497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318900</v>
      </c>
      <c r="M59" s="106">
        <f t="shared" ca="1" si="31"/>
        <v>318900</v>
      </c>
      <c r="N59" s="106">
        <f t="shared" ca="1" si="31"/>
        <v>302948.03000000003</v>
      </c>
      <c r="O59" s="106">
        <f t="shared" ref="O59:O67" ca="1" si="32">IF(L59&gt;0,N59*100/L59,0)</f>
        <v>94.997814361868933</v>
      </c>
      <c r="P59" s="106">
        <f t="shared" ref="P59:P67" ca="1" si="33">IF(M59&gt;0,N59*100/M59,0)</f>
        <v>94.997814361868933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318900</v>
      </c>
      <c r="M61" s="109">
        <f t="shared" ca="1" si="37"/>
        <v>318900</v>
      </c>
      <c r="N61" s="109">
        <f t="shared" ca="1" si="37"/>
        <v>302948.03000000003</v>
      </c>
      <c r="O61" s="109">
        <f t="shared" ca="1" si="32"/>
        <v>94.997814361868933</v>
      </c>
      <c r="P61" s="109">
        <f t="shared" ca="1" si="33"/>
        <v>94.997814361868933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318900</v>
      </c>
      <c r="M62" s="47">
        <f t="shared" ca="1" si="39"/>
        <v>318900</v>
      </c>
      <c r="N62" s="47">
        <f t="shared" ca="1" si="39"/>
        <v>302948.03000000003</v>
      </c>
      <c r="O62" s="47">
        <f t="shared" ca="1" si="32"/>
        <v>94.997814361868933</v>
      </c>
      <c r="P62" s="47">
        <f t="shared" ca="1" si="33"/>
        <v>94.997814361868933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IFERROR(__xludf.DUMMYFUNCTION("IMPORTRANGE(""https://docs.google.com/spreadsheets/d/1-uDff_7J0KD5mKrp0Vvzr7lt3OU09vwQwhkpOPPYv2Y/edit?usp=sharing"",""งบพรบ!AJ87"")"),302948.03)</f>
        <v>302948.03000000003</v>
      </c>
      <c r="O64" s="47">
        <f t="shared" ca="1" si="32"/>
        <v>94.997814361868933</v>
      </c>
      <c r="P64" s="47">
        <f t="shared" ca="1" si="33"/>
        <v>94.997814361868933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0</v>
      </c>
      <c r="M65" s="47">
        <f t="shared" ca="1" si="41"/>
        <v>0</v>
      </c>
      <c r="N65" s="47">
        <f t="shared" ca="1" si="41"/>
        <v>0</v>
      </c>
      <c r="O65" s="47">
        <f t="shared" ca="1" si="32"/>
        <v>0</v>
      </c>
      <c r="P65" s="47">
        <f t="shared" ca="1" si="33"/>
        <v>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t="shared" ca="1" si="32"/>
        <v>0</v>
      </c>
      <c r="P67" s="111">
        <f t="shared" ca="1" si="33"/>
        <v>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IFERROR(__xludf.DUMMYFUNCTION("IMPORTRANGE(""https://docs.google.com/spreadsheets/d/1eHaY18a8A9IcSdp1K8H6x8fbOy06t2VsZHhMHf-1x7Y/edit?usp=sharing"",""แผน!H87"")"),0)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IFERROR(__xludf.DUMMYFUNCTION("IMPORTRANGE(""https://docs.google.com/spreadsheets/d/1eHaY18a8A9IcSdp1K8H6x8fbOy06t2VsZHhMHf-1x7Y/edit?usp=sharing"",""แผน!I87"")"),0)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IFERROR(__xludf.DUMMYFUNCTION("IMPORTRANGE(""https://docs.google.com/spreadsheets/d/1eHaY18a8A9IcSdp1K8H6x8fbOy06t2VsZHhMHf-1x7Y/edit?usp=sharing"",""แผน!F87"")"),0)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IFERROR(__xludf.DUMMYFUNCTION("IMPORTRANGE(""https://docs.google.com/spreadsheets/d/1eHaY18a8A9IcSdp1K8H6x8fbOy06t2VsZHhMHf-1x7Y/edit?usp=sharing"",""แผน!G87"")"),0)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IFERROR(__xludf.DUMMYFUNCTION("IMPORTRANGE(""https://docs.google.com/spreadsheets/d/1eHaY18a8A9IcSdp1K8H6x8fbOy06t2VsZHhMHf-1x7Y/edit?usp=sharing"",""แผน!D87"")"),0)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IFERROR(__xludf.DUMMYFUNCTION("IMPORTRANGE(""https://docs.google.com/spreadsheets/d/1eHaY18a8A9IcSdp1K8H6x8fbOy06t2VsZHhMHf-1x7Y/edit?usp=sharing"",""แผน!E87"")"),0)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IFERROR(__xludf.DUMMYFUNCTION("IMPORTRANGE(""https://docs.google.com/spreadsheets/d/1eHaY18a8A9IcSdp1K8H6x8fbOy06t2VsZHhMHf-1x7Y/edit?usp=sharing"",""แผน!J87"")"),0)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30</v>
      </c>
      <c r="J92" s="128">
        <f t="shared" si="59"/>
        <v>30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10</v>
      </c>
      <c r="J93" s="128">
        <f t="shared" si="59"/>
        <v>10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6000</v>
      </c>
      <c r="M94" s="133">
        <f t="shared" ca="1" si="61"/>
        <v>6000</v>
      </c>
      <c r="N94" s="133">
        <f t="shared" ca="1" si="61"/>
        <v>6000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84420</v>
      </c>
      <c r="R94" s="133">
        <f t="shared" ca="1" si="64"/>
        <v>56470</v>
      </c>
      <c r="S94" s="133">
        <f t="shared" ca="1" si="64"/>
        <v>56470</v>
      </c>
      <c r="T94" s="133">
        <f t="shared" ref="T94:T102" ca="1" si="65">IF(Q94&gt;0,S94*100/Q94,0)</f>
        <v>66.891731817104954</v>
      </c>
      <c r="U94" s="133">
        <f t="shared" ref="U94:U102" ca="1" si="66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6000</v>
      </c>
      <c r="M96" s="47">
        <f t="shared" ca="1" si="67"/>
        <v>6000</v>
      </c>
      <c r="N96" s="47">
        <f t="shared" ca="1" si="67"/>
        <v>6000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84420</v>
      </c>
      <c r="R96" s="47">
        <f t="shared" ca="1" si="68"/>
        <v>56470</v>
      </c>
      <c r="S96" s="47">
        <f t="shared" ca="1" si="68"/>
        <v>56470</v>
      </c>
      <c r="T96" s="47">
        <f t="shared" ca="1" si="65"/>
        <v>66.891731817104954</v>
      </c>
      <c r="U96" s="47">
        <f t="shared" ca="1" si="66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6000</v>
      </c>
      <c r="M97" s="47">
        <f t="shared" ca="1" si="69"/>
        <v>6000</v>
      </c>
      <c r="N97" s="47">
        <f t="shared" ca="1" si="69"/>
        <v>6000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84420</v>
      </c>
      <c r="R97" s="47">
        <f t="shared" ca="1" si="70"/>
        <v>56470</v>
      </c>
      <c r="S97" s="47">
        <f t="shared" ca="1" si="70"/>
        <v>56470</v>
      </c>
      <c r="T97" s="47">
        <f t="shared" ca="1" si="65"/>
        <v>66.891731817104954</v>
      </c>
      <c r="U97" s="47">
        <f t="shared" ca="1" si="66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IFERROR(__xludf.DUMMYFUNCTION("IMPORTRANGE(""https://docs.google.com/spreadsheets/d/1-uDff_7J0KD5mKrp0Vvzr7lt3OU09vwQwhkpOPPYv2Y/edit?usp=sharing"",""งบพรบ!AW87"")"),6000)</f>
        <v>6000</v>
      </c>
      <c r="M99" s="47">
        <f ca="1">IFERROR(__xludf.DUMMYFUNCTION("IMPORTRANGE(""https://docs.google.com/spreadsheets/d/1-uDff_7J0KD5mKrp0Vvzr7lt3OU09vwQwhkpOPPYv2Y/edit?usp=sharing"",""งบพรบ!BB87"")"),6000)</f>
        <v>6000</v>
      </c>
      <c r="N99" s="47">
        <f ca="1">IFERROR(__xludf.DUMMYFUNCTION("IMPORTRANGE(""https://docs.google.com/spreadsheets/d/1-uDff_7J0KD5mKrp0Vvzr7lt3OU09vwQwhkpOPPYv2Y/edit?usp=sharing"",""งบพรบ!BD87"")"),6000)</f>
        <v>6000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IFERROR(__xludf.DUMMYFUNCTION("IMPORTRANGE(""https://docs.google.com/spreadsheets/d/1ItG2mGa2ceCfYo0BwxsXqNm01IGEUdYcSSLTEv9YCik/edit?usp=sharing"",""เบิกจ่ายกองทุน!AK87"")"),56470)</f>
        <v>56470</v>
      </c>
      <c r="S99" s="47">
        <f ca="1">IFERROR(__xludf.DUMMYFUNCTION("IMPORTRANGE(""https://docs.google.com/spreadsheets/d/1ItG2mGa2ceCfYo0BwxsXqNm01IGEUdYcSSLTEv9YCik/edit?usp=sharing"",""เบิกจ่ายกองทุน!AL87"")"),56470)</f>
        <v>56470</v>
      </c>
      <c r="T99" s="47">
        <f t="shared" ca="1" si="65"/>
        <v>66.891731817104954</v>
      </c>
      <c r="U99" s="47">
        <f t="shared" ca="1" si="66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IFERROR(__xludf.DUMMYFUNCTION("IMPORTRANGE(""https://docs.google.com/spreadsheets/d/1eHaY18a8A9IcSdp1K8H6x8fbOy06t2VsZHhMHf-1x7Y/edit?usp=sharing"",""แผน!N87"")"),30)</f>
        <v>30</v>
      </c>
      <c r="J108" s="169">
        <v>30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IFERROR(__xludf.DUMMYFUNCTION("IMPORTRANGE(""https://docs.google.com/spreadsheets/d/1eHaY18a8A9IcSdp1K8H6x8fbOy06t2VsZHhMHf-1x7Y/edit?usp=sharing"",""แผน!O87"")"),10)</f>
        <v>10</v>
      </c>
      <c r="J109" s="169">
        <v>10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IFERROR(__xludf.DUMMYFUNCTION("IMPORTRANGE(""https://docs.google.com/spreadsheets/d/1eHaY18a8A9IcSdp1K8H6x8fbOy06t2VsZHhMHf-1x7Y/edit?usp=sharing"",""แผน!N87"")"),30)</f>
        <v>30</v>
      </c>
      <c r="J113" s="178">
        <v>30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IFERROR(__xludf.DUMMYFUNCTION("IMPORTRANGE(""https://docs.google.com/spreadsheets/d/1eHaY18a8A9IcSdp1K8H6x8fbOy06t2VsZHhMHf-1x7Y/edit?usp=sharing"",""แผน!O87"")"),10)</f>
        <v>10</v>
      </c>
      <c r="J114" s="169">
        <v>10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10</v>
      </c>
      <c r="J116" s="128">
        <f t="shared" si="75"/>
        <v>10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173660</v>
      </c>
      <c r="R117" s="133">
        <f t="shared" ca="1" si="79"/>
        <v>154827</v>
      </c>
      <c r="S117" s="133">
        <f t="shared" ca="1" si="79"/>
        <v>142736</v>
      </c>
      <c r="T117" s="133">
        <f t="shared" ref="T117:T125" ca="1" si="80">IF(Q117&gt;0,S117*100/Q117,0)</f>
        <v>82.192790510192324</v>
      </c>
      <c r="U117" s="133">
        <f t="shared" ref="U117:U125" ca="1" si="81">IF(R117&gt;0,S117*100/R117,0)</f>
        <v>92.190638583709557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173660</v>
      </c>
      <c r="R119" s="47">
        <f t="shared" ca="1" si="83"/>
        <v>154827</v>
      </c>
      <c r="S119" s="47">
        <f t="shared" ca="1" si="83"/>
        <v>142736</v>
      </c>
      <c r="T119" s="47">
        <f t="shared" ca="1" si="80"/>
        <v>82.192790510192324</v>
      </c>
      <c r="U119" s="47">
        <f t="shared" ca="1" si="81"/>
        <v>92.190638583709557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173660</v>
      </c>
      <c r="R120" s="47">
        <f t="shared" ca="1" si="85"/>
        <v>154827</v>
      </c>
      <c r="S120" s="47">
        <f t="shared" ca="1" si="85"/>
        <v>142736</v>
      </c>
      <c r="T120" s="47">
        <f t="shared" ca="1" si="80"/>
        <v>82.192790510192324</v>
      </c>
      <c r="U120" s="47">
        <f t="shared" ca="1" si="81"/>
        <v>92.190638583709557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IFERROR(__xludf.DUMMYFUNCTION("IMPORTRANGE(""https://docs.google.com/spreadsheets/d/1ItG2mGa2ceCfYo0BwxsXqNm01IGEUdYcSSLTEv9YCik/edit?usp=sharing"",""เบิกจ่ายกองทุน!V87"")"),154827)</f>
        <v>154827</v>
      </c>
      <c r="S122" s="47">
        <f ca="1">IFERROR(__xludf.DUMMYFUNCTION("IMPORTRANGE(""https://docs.google.com/spreadsheets/d/1ItG2mGa2ceCfYo0BwxsXqNm01IGEUdYcSSLTEv9YCik/edit?usp=sharing"",""เบิกจ่ายกองทุน!W87"")"),142736)</f>
        <v>142736</v>
      </c>
      <c r="T122" s="47">
        <f t="shared" ca="1" si="80"/>
        <v>82.192790510192324</v>
      </c>
      <c r="U122" s="47">
        <f t="shared" ca="1" si="81"/>
        <v>92.190638583709557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0</v>
      </c>
      <c r="R123" s="47">
        <f t="shared" ca="1" si="87"/>
        <v>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IFERROR(__xludf.DUMMYFUNCTION("IMPORTRANGE(""https://docs.google.com/spreadsheets/d/1eHaY18a8A9IcSdp1K8H6x8fbOy06t2VsZHhMHf-1x7Y/edit?usp=sharing"",""แผน!FF87"")"),10)</f>
        <v>10</v>
      </c>
      <c r="J127" s="169">
        <v>10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IFERROR(__xludf.DUMMYFUNCTION("IMPORTRANGE(""https://docs.google.com/spreadsheets/d/1eHaY18a8A9IcSdp1K8H6x8fbOy06t2VsZHhMHf-1x7Y/edit?usp=sharing"",""แผน!FG87"")"),1)</f>
        <v>1</v>
      </c>
      <c r="J128" s="169">
        <v>1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IFERROR(__xludf.DUMMYFUNCTION("IMPORTRANGE(""https://docs.google.com/spreadsheets/d/1eHaY18a8A9IcSdp1K8H6x8fbOy06t2VsZHhMHf-1x7Y/edit?usp=sharing"",""แผน!FH87"")"),10)</f>
        <v>10</v>
      </c>
      <c r="J129" s="169">
        <v>10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IFERROR(__xludf.DUMMYFUNCTION("IMPORTRANGE(""https://docs.google.com/spreadsheets/d/1eHaY18a8A9IcSdp1K8H6x8fbOy06t2VsZHhMHf-1x7Y/edit?usp=sharing"",""แผน!FI87"")"),1)</f>
        <v>1</v>
      </c>
      <c r="J130" s="169">
        <v>1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0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0</v>
      </c>
      <c r="J137" s="128">
        <f t="shared" si="91"/>
        <v>0</v>
      </c>
      <c r="K137" s="35">
        <f t="shared" ca="1" si="90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0</v>
      </c>
      <c r="J138" s="128">
        <f t="shared" si="91"/>
        <v>0</v>
      </c>
      <c r="K138" s="35">
        <f t="shared" ca="1" si="90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0</v>
      </c>
      <c r="M139" s="133">
        <f t="shared" ca="1" si="92"/>
        <v>0</v>
      </c>
      <c r="N139" s="133">
        <f t="shared" ca="1" si="92"/>
        <v>0</v>
      </c>
      <c r="O139" s="133">
        <f t="shared" ref="O139:O147" ca="1" si="93">IF(L139&gt;0,N139*100/L139,0)</f>
        <v>0</v>
      </c>
      <c r="P139" s="133">
        <f t="shared" ref="P139:P147" ca="1" si="94">IF(M139&gt;0,N139*100/M139,0)</f>
        <v>0</v>
      </c>
      <c r="Q139" s="133">
        <f t="shared" ref="Q139:S139" ca="1" si="95">Q140+Q141</f>
        <v>0</v>
      </c>
      <c r="R139" s="133">
        <f t="shared" ca="1" si="95"/>
        <v>0</v>
      </c>
      <c r="S139" s="133">
        <f t="shared" ca="1" si="95"/>
        <v>0</v>
      </c>
      <c r="T139" s="133">
        <f t="shared" ref="T139:T147" ca="1" si="96">IF(Q139&gt;0,S139*100/Q139,0)</f>
        <v>0</v>
      </c>
      <c r="U139" s="133">
        <f t="shared" ref="U139:U147" ca="1" si="97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0</v>
      </c>
      <c r="M141" s="47">
        <f t="shared" ca="1" si="98"/>
        <v>0</v>
      </c>
      <c r="N141" s="47">
        <f t="shared" ca="1" si="98"/>
        <v>0</v>
      </c>
      <c r="O141" s="47">
        <f t="shared" ca="1" si="93"/>
        <v>0</v>
      </c>
      <c r="P141" s="47">
        <f t="shared" ca="1" si="94"/>
        <v>0</v>
      </c>
      <c r="Q141" s="47">
        <f t="shared" ca="1" si="99"/>
        <v>0</v>
      </c>
      <c r="R141" s="47">
        <f t="shared" ca="1" si="99"/>
        <v>0</v>
      </c>
      <c r="S141" s="47">
        <f t="shared" ca="1" si="99"/>
        <v>0</v>
      </c>
      <c r="T141" s="47">
        <f t="shared" ca="1" si="96"/>
        <v>0</v>
      </c>
      <c r="U141" s="47">
        <f t="shared" ca="1" si="97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0</v>
      </c>
      <c r="M142" s="47">
        <f t="shared" ca="1" si="100"/>
        <v>0</v>
      </c>
      <c r="N142" s="47">
        <f t="shared" ca="1" si="100"/>
        <v>0</v>
      </c>
      <c r="O142" s="47">
        <f t="shared" ca="1" si="93"/>
        <v>0</v>
      </c>
      <c r="P142" s="47">
        <f t="shared" ca="1" si="94"/>
        <v>0</v>
      </c>
      <c r="Q142" s="47">
        <f t="shared" ref="Q142:S142" ca="1" si="101">Q143+Q144</f>
        <v>0</v>
      </c>
      <c r="R142" s="47">
        <f t="shared" ca="1" si="101"/>
        <v>0</v>
      </c>
      <c r="S142" s="47">
        <f t="shared" ca="1" si="101"/>
        <v>0</v>
      </c>
      <c r="T142" s="47">
        <f t="shared" ca="1" si="96"/>
        <v>0</v>
      </c>
      <c r="U142" s="47">
        <f t="shared" ca="1" si="97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t="shared" ca="1" si="93"/>
        <v>0</v>
      </c>
      <c r="P144" s="47">
        <f t="shared" ca="1" si="94"/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t="shared" ca="1" si="96"/>
        <v>0</v>
      </c>
      <c r="U144" s="47">
        <f t="shared" ca="1" si="97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0</v>
      </c>
      <c r="R145" s="47">
        <f t="shared" ca="1" si="103"/>
        <v>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t="shared" ca="1" si="96"/>
        <v>0</v>
      </c>
      <c r="U147" s="47">
        <f t="shared" ca="1" si="97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IFERROR(__xludf.DUMMYFUNCTION("IMPORTRANGE(""https://docs.google.com/spreadsheets/d/1eHaY18a8A9IcSdp1K8H6x8fbOy06t2VsZHhMHf-1x7Y/edit?usp=sharing"",""แผน!U87"")"),0)</f>
        <v>0</v>
      </c>
      <c r="J150" s="169">
        <v>0</v>
      </c>
      <c r="K150" s="47">
        <f t="shared" ref="K150:K154" ca="1" si="104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IFERROR(__xludf.DUMMYFUNCTION("IMPORTRANGE(""https://docs.google.com/spreadsheets/d/1eHaY18a8A9IcSdp1K8H6x8fbOy06t2VsZHhMHf-1x7Y/edit?usp=sharing"",""แผน!V87"")"),0)</f>
        <v>0</v>
      </c>
      <c r="J151" s="169">
        <v>0</v>
      </c>
      <c r="K151" s="47">
        <f t="shared" ca="1" si="104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IFERROR(__xludf.DUMMYFUNCTION("IMPORTRANGE(""https://docs.google.com/spreadsheets/d/1eHaY18a8A9IcSdp1K8H6x8fbOy06t2VsZHhMHf-1x7Y/edit?usp=sharing"",""แผน!W87"")"),0)</f>
        <v>0</v>
      </c>
      <c r="J152" s="169">
        <v>0</v>
      </c>
      <c r="K152" s="47">
        <f t="shared" ca="1" si="104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IFERROR(__xludf.DUMMYFUNCTION("IMPORTRANGE(""https://docs.google.com/spreadsheets/d/1eHaY18a8A9IcSdp1K8H6x8fbOy06t2VsZHhMHf-1x7Y/edit?usp=sharing"",""แผน!X87"")"),0)</f>
        <v>0</v>
      </c>
      <c r="J153" s="169">
        <v>0</v>
      </c>
      <c r="K153" s="47">
        <f t="shared" ca="1" si="104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IFERROR(__xludf.DUMMYFUNCTION("IMPORTRANGE(""https://docs.google.com/spreadsheets/d/1eHaY18a8A9IcSdp1K8H6x8fbOy06t2VsZHhMHf-1x7Y/edit?usp=sharing"",""แผน!Y87"")"),0)</f>
        <v>0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I169</f>
        <v>0</v>
      </c>
      <c r="J156" s="128">
        <f t="shared" si="105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9"/>
      <c r="B157" s="200"/>
      <c r="C157" s="40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0</v>
      </c>
      <c r="M157" s="133">
        <f t="shared" ca="1" si="106"/>
        <v>0</v>
      </c>
      <c r="N157" s="133">
        <f t="shared" ca="1" si="106"/>
        <v>0</v>
      </c>
      <c r="O157" s="133">
        <f t="shared" ref="O157:O165" ca="1" si="107">IF(L157&gt;0,N157*100/L157,0)</f>
        <v>0</v>
      </c>
      <c r="P157" s="133">
        <f t="shared" ref="P157:P165" ca="1" si="108">IF(M157&gt;0,N157*100/M157,0)</f>
        <v>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0</v>
      </c>
      <c r="M159" s="47">
        <f t="shared" ca="1" si="112"/>
        <v>0</v>
      </c>
      <c r="N159" s="47">
        <f t="shared" ca="1" si="112"/>
        <v>0</v>
      </c>
      <c r="O159" s="47">
        <f t="shared" ca="1" si="107"/>
        <v>0</v>
      </c>
      <c r="P159" s="47">
        <f t="shared" ca="1" si="108"/>
        <v>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0</v>
      </c>
      <c r="M160" s="47">
        <f t="shared" ca="1" si="114"/>
        <v>0</v>
      </c>
      <c r="N160" s="47">
        <f t="shared" ca="1" si="114"/>
        <v>0</v>
      </c>
      <c r="O160" s="47">
        <f t="shared" ca="1" si="107"/>
        <v>0</v>
      </c>
      <c r="P160" s="47">
        <f t="shared" ca="1" si="108"/>
        <v>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IFERROR(__xludf.DUMMYFUNCTION("IMPORTRANGE(""https://docs.google.com/spreadsheets/d/1-uDff_7J0KD5mKrp0Vvzr7lt3OU09vwQwhkpOPPYv2Y/edit?usp=sharing"",""งบพรบ!CF87"")"),0)</f>
        <v>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t="shared" ca="1" si="107"/>
        <v>0</v>
      </c>
      <c r="P162" s="47">
        <f t="shared" ca="1" si="108"/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IFERROR(__xludf.DUMMYFUNCTION("IMPORTRANGE(""https://docs.google.com/spreadsheets/d/1eHaY18a8A9IcSdp1K8H6x8fbOy06t2VsZHhMHf-1x7Y/edit?usp=sharing"",""แผน!Z87"")"),0)</f>
        <v>0</v>
      </c>
      <c r="J167" s="169">
        <v>0</v>
      </c>
      <c r="K167" s="47">
        <f t="shared" ref="K167:K169" ca="1" si="118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IFERROR(__xludf.DUMMYFUNCTION("IMPORTRANGE(""https://docs.google.com/spreadsheets/d/1eHaY18a8A9IcSdp1K8H6x8fbOy06t2VsZHhMHf-1x7Y/edit?usp=sharing"",""แผน!Z87"")"),0)</f>
        <v>0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IFERROR(__xludf.DUMMYFUNCTION("IMPORTRANGE(""https://docs.google.com/spreadsheets/d/1eHaY18a8A9IcSdp1K8H6x8fbOy06t2VsZHhMHf-1x7Y/edit?usp=sharing"",""แผน!Z87"")"),0)</f>
        <v>0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7</v>
      </c>
      <c r="J172" s="222">
        <f t="shared" si="119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19590</v>
      </c>
      <c r="M173" s="133">
        <f t="shared" ca="1" si="120"/>
        <v>40300</v>
      </c>
      <c r="N173" s="133">
        <f t="shared" ca="1" si="120"/>
        <v>40300</v>
      </c>
      <c r="O173" s="133">
        <f t="shared" ref="O173:O181" ca="1" si="121">IF(L173&gt;0,N173*100/L173,0)</f>
        <v>205.71720265441553</v>
      </c>
      <c r="P173" s="133">
        <f t="shared" ref="P173:P181" ca="1" si="122">IF(M173&gt;0,N173*100/M173,0)</f>
        <v>100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19590</v>
      </c>
      <c r="M175" s="47">
        <f t="shared" ca="1" si="126"/>
        <v>40300</v>
      </c>
      <c r="N175" s="47">
        <f t="shared" ca="1" si="126"/>
        <v>40300</v>
      </c>
      <c r="O175" s="47">
        <f t="shared" ca="1" si="121"/>
        <v>205.71720265441553</v>
      </c>
      <c r="P175" s="47">
        <f t="shared" ca="1" si="122"/>
        <v>100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19590</v>
      </c>
      <c r="M176" s="47">
        <f t="shared" ca="1" si="128"/>
        <v>40300</v>
      </c>
      <c r="N176" s="47">
        <f t="shared" ca="1" si="128"/>
        <v>40300</v>
      </c>
      <c r="O176" s="47">
        <f t="shared" ca="1" si="121"/>
        <v>205.71720265441553</v>
      </c>
      <c r="P176" s="47">
        <f t="shared" ca="1" si="122"/>
        <v>100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t="shared" ca="1" si="121"/>
        <v>205.71720265441553</v>
      </c>
      <c r="P178" s="47">
        <f t="shared" ca="1" si="122"/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IFERROR(__xludf.DUMMYFUNCTION("IMPORTRANGE(""https://docs.google.com/spreadsheets/d/1eHaY18a8A9IcSdp1K8H6x8fbOy06t2VsZHhMHf-1x7Y/edit?usp=sharing"",""แผน!AA87"")"),7)</f>
        <v>7</v>
      </c>
      <c r="J183" s="169">
        <v>7</v>
      </c>
      <c r="K183" s="47">
        <f t="shared" ref="K183:K185" ca="1" si="132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0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400000</v>
      </c>
      <c r="M186" s="133">
        <f t="shared" ca="1" si="134"/>
        <v>411700</v>
      </c>
      <c r="N186" s="133">
        <f t="shared" ca="1" si="134"/>
        <v>383248.12</v>
      </c>
      <c r="O186" s="133">
        <f t="shared" ref="O186:O194" ca="1" si="135">IF(L186&gt;0,N186*100/L186,0)</f>
        <v>95.812029999999993</v>
      </c>
      <c r="P186" s="133">
        <f t="shared" ref="P186:P194" ca="1" si="136">IF(M186&gt;0,N186*100/M186,0)</f>
        <v>93.089171726985668</v>
      </c>
      <c r="Q186" s="133">
        <f t="shared" ref="Q186:S186" ca="1" si="137">Q187+Q188</f>
        <v>28000</v>
      </c>
      <c r="R186" s="133">
        <f t="shared" ca="1" si="137"/>
        <v>20000</v>
      </c>
      <c r="S186" s="133">
        <f t="shared" ca="1" si="137"/>
        <v>20000</v>
      </c>
      <c r="T186" s="133">
        <f t="shared" ref="T186:T194" ca="1" si="138">IF(Q186&gt;0,S186*100/Q186,0)</f>
        <v>71.428571428571431</v>
      </c>
      <c r="U186" s="133">
        <f t="shared" ref="U186:U194" ca="1" si="139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400000</v>
      </c>
      <c r="M188" s="47">
        <f t="shared" ca="1" si="140"/>
        <v>411700</v>
      </c>
      <c r="N188" s="47">
        <f t="shared" ca="1" si="140"/>
        <v>383248.12</v>
      </c>
      <c r="O188" s="47">
        <f t="shared" ca="1" si="135"/>
        <v>95.812029999999993</v>
      </c>
      <c r="P188" s="47">
        <f t="shared" ca="1" si="136"/>
        <v>93.089171726985668</v>
      </c>
      <c r="Q188" s="47">
        <f t="shared" ca="1" si="141"/>
        <v>28000</v>
      </c>
      <c r="R188" s="47">
        <f t="shared" ca="1" si="141"/>
        <v>20000</v>
      </c>
      <c r="S188" s="47">
        <f t="shared" ca="1" si="141"/>
        <v>20000</v>
      </c>
      <c r="T188" s="47">
        <f t="shared" ca="1" si="138"/>
        <v>71.428571428571431</v>
      </c>
      <c r="U188" s="47">
        <f t="shared" ca="1" si="139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400000</v>
      </c>
      <c r="M189" s="47">
        <f t="shared" ca="1" si="142"/>
        <v>411700</v>
      </c>
      <c r="N189" s="47">
        <f t="shared" ca="1" si="142"/>
        <v>383248.12</v>
      </c>
      <c r="O189" s="47">
        <f t="shared" ca="1" si="135"/>
        <v>95.812029999999993</v>
      </c>
      <c r="P189" s="47">
        <f t="shared" ca="1" si="136"/>
        <v>93.089171726985668</v>
      </c>
      <c r="Q189" s="47">
        <f t="shared" ref="Q189:S189" ca="1" si="143">Q190+Q191</f>
        <v>28000</v>
      </c>
      <c r="R189" s="47">
        <f t="shared" ca="1" si="143"/>
        <v>20000</v>
      </c>
      <c r="S189" s="47">
        <f t="shared" ca="1" si="143"/>
        <v>20000</v>
      </c>
      <c r="T189" s="47">
        <f t="shared" ca="1" si="138"/>
        <v>71.428571428571431</v>
      </c>
      <c r="U189" s="47">
        <f t="shared" ca="1" si="139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IFERROR(__xludf.DUMMYFUNCTION("IMPORTRANGE(""https://docs.google.com/spreadsheets/d/1-uDff_7J0KD5mKrp0Vvzr7lt3OU09vwQwhkpOPPYv2Y/edit?usp=sharing"",""งบพรบ!CZ87"")"),411700)</f>
        <v>411700</v>
      </c>
      <c r="N191" s="47">
        <f ca="1">IFERROR(__xludf.DUMMYFUNCTION("IMPORTRANGE(""https://docs.google.com/spreadsheets/d/1-uDff_7J0KD5mKrp0Vvzr7lt3OU09vwQwhkpOPPYv2Y/edit?usp=sharing"",""งบพรบ!DB87"")"),383248.12)</f>
        <v>383248.12</v>
      </c>
      <c r="O191" s="47">
        <f t="shared" ca="1" si="135"/>
        <v>95.812029999999993</v>
      </c>
      <c r="P191" s="47">
        <f t="shared" ca="1" si="136"/>
        <v>93.089171726985668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IFERROR(__xludf.DUMMYFUNCTION("IMPORTRANGE(""https://docs.google.com/spreadsheets/d/1ItG2mGa2ceCfYo0BwxsXqNm01IGEUdYcSSLTEv9YCik/edit?usp=sharing"",""เบิกจ่ายกองทุน!BR87"")"),20000)</f>
        <v>20000</v>
      </c>
      <c r="S191" s="47">
        <f ca="1">IFERROR(__xludf.DUMMYFUNCTION("IMPORTRANGE(""https://docs.google.com/spreadsheets/d/1ItG2mGa2ceCfYo0BwxsXqNm01IGEUdYcSSLTEv9YCik/edit?usp=sharing"",""เบิกจ่ายกองทุน!BS87"")"),20000)</f>
        <v>20000</v>
      </c>
      <c r="T191" s="47">
        <f t="shared" ca="1" si="138"/>
        <v>71.428571428571431</v>
      </c>
      <c r="U191" s="47">
        <f t="shared" ca="1" si="139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IFERROR(__xludf.DUMMYFUNCTION("IMPORTRANGE(""https://docs.google.com/spreadsheets/d/1eHaY18a8A9IcSdp1K8H6x8fbOy06t2VsZHhMHf-1x7Y/edit?usp=sharing"",""แผน!AE87"")"),4)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52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52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2</v>
      </c>
      <c r="J202" s="236">
        <f t="shared" si="147"/>
        <v>2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10000</v>
      </c>
      <c r="M203" s="46"/>
      <c r="N203" s="133">
        <f>N204+N205+N206+N207</f>
        <v>10000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28000</v>
      </c>
      <c r="R203" s="180"/>
      <c r="S203" s="638">
        <f>S204+S205+S206+S207</f>
        <v>20000</v>
      </c>
      <c r="T203" s="638">
        <f ca="1">IF(Q203&gt;0,S203*100/Q203,0)</f>
        <v>71.428571428571431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IFERROR(__xludf.DUMMYFUNCTION("IMPORTRANGE(""https://docs.google.com/spreadsheets/d/1eHaY18a8A9IcSdp1K8H6x8fbOy06t2VsZHhMHf-1x7Y/edit?usp=sharing"",""แผน!AG87"")"),2000)</f>
        <v>2000</v>
      </c>
      <c r="M204" s="46"/>
      <c r="N204" s="639">
        <v>2000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IFERROR(__xludf.DUMMYFUNCTION("IMPORTRANGE(""https://docs.google.com/spreadsheets/d/1eHaY18a8A9IcSdp1K8H6x8fbOy06t2VsZHhMHf-1x7Y/edit?usp=sharing"",""แผน!AH87"")"),0)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21" customHeight="1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IFERROR(__xludf.DUMMYFUNCTION("IMPORTRANGE(""https://docs.google.com/spreadsheets/d/1eHaY18a8A9IcSdp1K8H6x8fbOy06t2VsZHhMHf-1x7Y/edit?usp=sharing"",""แผน!AI87"")"),0)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639">
        <v>20000</v>
      </c>
      <c r="T206" s="137"/>
      <c r="U206" s="46"/>
    </row>
    <row r="207" spans="1:21" ht="18.75" x14ac:dyDescent="0.25">
      <c r="A207" s="331"/>
      <c r="B207" s="333"/>
      <c r="C207" s="332"/>
      <c r="D207" s="271" t="s">
        <v>89</v>
      </c>
      <c r="E207" s="332"/>
      <c r="F207" s="332"/>
      <c r="G207" s="335"/>
      <c r="H207" s="415" t="s">
        <v>14</v>
      </c>
      <c r="I207" s="337"/>
      <c r="J207" s="337"/>
      <c r="K207" s="180"/>
      <c r="L207" s="588">
        <f ca="1">IFERROR(__xludf.DUMMYFUNCTION("IMPORTRANGE(""https://docs.google.com/spreadsheets/d/1eHaY18a8A9IcSdp1K8H6x8fbOy06t2VsZHhMHf-1x7Y/edit?usp=sharing"",""แผน!AJ87"")"),8000)</f>
        <v>8000</v>
      </c>
      <c r="M207" s="46"/>
      <c r="N207" s="639">
        <v>8000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IFERROR(__xludf.DUMMYFUNCTION("IMPORTRANGE(""https://docs.google.com/spreadsheets/d/1eHaY18a8A9IcSdp1K8H6x8fbOy06t2VsZHhMHf-1x7Y/edit?usp=sharing"",""แผน!AK87"")"),2)</f>
        <v>2</v>
      </c>
      <c r="J209" s="169">
        <v>2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IFERROR(__xludf.DUMMYFUNCTION("IMPORTRANGE(""https://docs.google.com/spreadsheets/d/1eHaY18a8A9IcSdp1K8H6x8fbOy06t2VsZHhMHf-1x7Y/edit?usp=sharing"",""แผน!JX87"")"),2)</f>
        <v>2</v>
      </c>
      <c r="J211" s="169">
        <v>2</v>
      </c>
      <c r="K211" s="154">
        <f t="shared" ref="K211:K213" ca="1" si="148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IFERROR(__xludf.DUMMYFUNCTION("IMPORTRANGE(""https://docs.google.com/spreadsheets/d/1eHaY18a8A9IcSdp1K8H6x8fbOy06t2VsZHhMHf-1x7Y/edit?usp=sharing"",""แผน!JY87"")"),0)</f>
        <v>0</v>
      </c>
      <c r="J212" s="169">
        <v>0</v>
      </c>
      <c r="K212" s="154">
        <f t="shared" ca="1" si="148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0</v>
      </c>
      <c r="J213" s="236">
        <f t="shared" si="149"/>
        <v>0</v>
      </c>
      <c r="K213" s="237">
        <f t="shared" ca="1" si="148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IFERROR(__xludf.DUMMYFUNCTION("IMPORTRANGE(""https://docs.google.com/spreadsheets/d/1eHaY18a8A9IcSdp1K8H6x8fbOy06t2VsZHhMHf-1x7Y/edit?usp=sharing"",""แผน!AM87"")"),0)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IFERROR(__xludf.DUMMYFUNCTION("IMPORTRANGE(""https://docs.google.com/spreadsheets/d/1eHaY18a8A9IcSdp1K8H6x8fbOy06t2VsZHhMHf-1x7Y/edit?usp=sharing"",""แผน!AN87"")"),0)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IFERROR(__xludf.DUMMYFUNCTION("IMPORTRANGE(""https://docs.google.com/spreadsheets/d/1eHaY18a8A9IcSdp1K8H6x8fbOy06t2VsZHhMHf-1x7Y/edit?usp=sharing"",""แผน!AO87"")"),0)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IFERROR(__xludf.DUMMYFUNCTION("IMPORTRANGE(""https://docs.google.com/spreadsheets/d/1eHaY18a8A9IcSdp1K8H6x8fbOy06t2VsZHhMHf-1x7Y/edit?usp=sharing"",""แผน!LY87"")"),0)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IFERROR(__xludf.DUMMYFUNCTION("IMPORTRANGE(""https://docs.google.com/spreadsheets/d/1eHaY18a8A9IcSdp1K8H6x8fbOy06t2VsZHhMHf-1x7Y/edit?usp=sharing"",""แผน!AP87"")"),0)</f>
        <v>0</v>
      </c>
      <c r="J219" s="169">
        <v>0</v>
      </c>
      <c r="K219" s="47">
        <f t="shared" ref="K219:K221" ca="1" si="150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IFERROR(__xludf.DUMMYFUNCTION("IMPORTRANGE(""https://docs.google.com/spreadsheets/d/1eHaY18a8A9IcSdp1K8H6x8fbOy06t2VsZHhMHf-1x7Y/edit?usp=sharing"",""แผน!AP87"")"),0)</f>
        <v>0</v>
      </c>
      <c r="J220" s="169">
        <v>0</v>
      </c>
      <c r="K220" s="47">
        <f t="shared" ca="1" si="150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6400</v>
      </c>
      <c r="J221" s="236">
        <f t="shared" si="151"/>
        <v>6400</v>
      </c>
      <c r="K221" s="237">
        <f t="shared" ca="1" si="150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3840</v>
      </c>
      <c r="O222" s="133">
        <f ca="1">IF(L222&gt;0,N222*100/L222,0)</f>
        <v>85.333333333333329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IFERROR(__xludf.DUMMYFUNCTION("IMPORTRANGE(""https://docs.google.com/spreadsheets/d/1eHaY18a8A9IcSdp1K8H6x8fbOy06t2VsZHhMHf-1x7Y/edit?usp=sharing"",""แผน!AR87"")"),2500)</f>
        <v>2500</v>
      </c>
      <c r="M223" s="46"/>
      <c r="N223" s="639">
        <v>2360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IFERROR(__xludf.DUMMYFUNCTION("IMPORTRANGE(""https://docs.google.com/spreadsheets/d/1eHaY18a8A9IcSdp1K8H6x8fbOy06t2VsZHhMHf-1x7Y/edit?usp=sharing"",""แผน!AS87"")"),2000)</f>
        <v>2000</v>
      </c>
      <c r="M224" s="46"/>
      <c r="N224" s="639">
        <v>1480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IFERROR(__xludf.DUMMYFUNCTION("IMPORTRANGE(""https://docs.google.com/spreadsheets/d/1eHaY18a8A9IcSdp1K8H6x8fbOy06t2VsZHhMHf-1x7Y/edit?usp=sharing"",""แผน!AT87"")"),0)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IFERROR(__xludf.DUMMYFUNCTION("IMPORTRANGE(""https://docs.google.com/spreadsheets/d/1eHaY18a8A9IcSdp1K8H6x8fbOy06t2VsZHhMHf-1x7Y/edit?usp=sharing"",""แผน!AV87"")"),6400)</f>
        <v>6400</v>
      </c>
      <c r="J228" s="169">
        <v>6400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IFERROR(__xludf.DUMMYFUNCTION("IMPORTRANGE(""https://docs.google.com/spreadsheets/d/1eHaY18a8A9IcSdp1K8H6x8fbOy06t2VsZHhMHf-1x7Y/edit?usp=sharing"",""แผน!AV87"")"),6400)</f>
        <v>6400</v>
      </c>
      <c r="J229" s="169">
        <v>6400</v>
      </c>
      <c r="K229" s="154">
        <f t="shared" ca="1" si="152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IFERROR(__xludf.DUMMYFUNCTION("IMPORTRANGE(""https://docs.google.com/spreadsheets/d/1eHaY18a8A9IcSdp1K8H6x8fbOy06t2VsZHhMHf-1x7Y/edit?usp=sharing"",""แผน!AU87"")"),0)</f>
        <v>0</v>
      </c>
      <c r="J230" s="169">
        <v>0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30"/>
      <c r="B231" s="231"/>
      <c r="C231" s="232" t="s">
        <v>105</v>
      </c>
      <c r="D231" s="233"/>
      <c r="E231" s="233"/>
      <c r="F231" s="233"/>
      <c r="G231" s="234"/>
      <c r="H231" s="235" t="s">
        <v>35</v>
      </c>
      <c r="I231" s="236">
        <f t="shared" ref="I231:J231" ca="1" si="153">I242+I253</f>
        <v>0</v>
      </c>
      <c r="J231" s="236">
        <f t="shared" si="153"/>
        <v>0</v>
      </c>
      <c r="K231" s="23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129"/>
      <c r="B232" s="200"/>
      <c r="C232" s="199" t="s">
        <v>18</v>
      </c>
      <c r="D232" s="616" t="s">
        <v>19</v>
      </c>
      <c r="E232" s="200"/>
      <c r="F232" s="200"/>
      <c r="G232" s="43"/>
      <c r="H232" s="240" t="s">
        <v>14</v>
      </c>
      <c r="I232" s="136"/>
      <c r="J232" s="136"/>
      <c r="K232" s="137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129"/>
      <c r="B233" s="160"/>
      <c r="C233" s="200"/>
      <c r="D233" s="271" t="s">
        <v>86</v>
      </c>
      <c r="E233" s="200"/>
      <c r="F233" s="200"/>
      <c r="G233" s="43"/>
      <c r="H233" s="135" t="s">
        <v>14</v>
      </c>
      <c r="I233" s="136"/>
      <c r="J233" s="136"/>
      <c r="K233" s="137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225"/>
      <c r="B234" s="160"/>
      <c r="C234" s="160"/>
      <c r="D234" s="271" t="s">
        <v>88</v>
      </c>
      <c r="E234" s="200"/>
      <c r="F234" s="200"/>
      <c r="G234" s="43"/>
      <c r="H234" s="135" t="s">
        <v>14</v>
      </c>
      <c r="I234" s="45"/>
      <c r="J234" s="45"/>
      <c r="K234" s="46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25"/>
      <c r="B235" s="160"/>
      <c r="C235" s="160"/>
      <c r="D235" s="271" t="s">
        <v>106</v>
      </c>
      <c r="E235" s="200"/>
      <c r="F235" s="200"/>
      <c r="G235" s="43"/>
      <c r="H235" s="135" t="s">
        <v>14</v>
      </c>
      <c r="I235" s="45"/>
      <c r="J235" s="45"/>
      <c r="K235" s="46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25"/>
      <c r="B236" s="160"/>
      <c r="C236" s="160"/>
      <c r="D236" s="271" t="s">
        <v>107</v>
      </c>
      <c r="E236" s="200"/>
      <c r="F236" s="200"/>
      <c r="G236" s="43"/>
      <c r="H236" s="135" t="s">
        <v>14</v>
      </c>
      <c r="I236" s="45"/>
      <c r="J236" s="45"/>
      <c r="K236" s="46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9"/>
      <c r="B237" s="140"/>
      <c r="C237" s="367" t="s">
        <v>18</v>
      </c>
      <c r="D237" s="618" t="s">
        <v>38</v>
      </c>
      <c r="E237" s="142"/>
      <c r="F237" s="142"/>
      <c r="G237" s="143"/>
      <c r="H237" s="144"/>
      <c r="I237" s="136"/>
      <c r="J237" s="45"/>
      <c r="K237" s="46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139"/>
      <c r="B238" s="140"/>
      <c r="C238" s="140"/>
      <c r="D238" s="303" t="s">
        <v>108</v>
      </c>
      <c r="E238" s="170"/>
      <c r="F238" s="170"/>
      <c r="G238" s="144"/>
      <c r="H238" s="248" t="s">
        <v>35</v>
      </c>
      <c r="I238" s="372">
        <f t="shared" ref="I238:J238" ca="1" si="156">I249+I260</f>
        <v>0</v>
      </c>
      <c r="J238" s="372">
        <f t="shared" si="156"/>
        <v>0</v>
      </c>
      <c r="K238" s="47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9"/>
      <c r="B239" s="140"/>
      <c r="C239" s="140"/>
      <c r="D239" s="257" t="s">
        <v>43</v>
      </c>
      <c r="E239" s="170"/>
      <c r="F239" s="170"/>
      <c r="G239" s="144"/>
      <c r="H239" s="144"/>
      <c r="I239" s="45"/>
      <c r="J239" s="45"/>
      <c r="K239" s="46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139"/>
      <c r="B240" s="140"/>
      <c r="C240" s="140"/>
      <c r="D240" s="140"/>
      <c r="E240" s="145" t="s">
        <v>109</v>
      </c>
      <c r="F240" s="170"/>
      <c r="G240" s="144"/>
      <c r="H240" s="248" t="s">
        <v>35</v>
      </c>
      <c r="I240" s="372">
        <f t="shared" ref="I240:J241" si="157">I251+I262</f>
        <v>0</v>
      </c>
      <c r="J240" s="372">
        <f t="shared" si="157"/>
        <v>0</v>
      </c>
      <c r="K240" s="47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9"/>
      <c r="B241" s="140"/>
      <c r="C241" s="140"/>
      <c r="D241" s="140"/>
      <c r="E241" s="145" t="s">
        <v>110</v>
      </c>
      <c r="F241" s="170"/>
      <c r="G241" s="144"/>
      <c r="H241" s="248" t="s">
        <v>61</v>
      </c>
      <c r="I241" s="372">
        <f t="shared" si="157"/>
        <v>0</v>
      </c>
      <c r="J241" s="372">
        <f t="shared" si="157"/>
        <v>0</v>
      </c>
      <c r="K241" s="47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IFERROR(__xludf.DUMMYFUNCTION("IMPORTRANGE(""https://docs.google.com/spreadsheets/d/1eHaY18a8A9IcSdp1K8H6x8fbOy06t2VsZHhMHf-1x7Y/edit?usp=sharing"",""แผน!AX87"")"),0)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IFERROR(__xludf.DUMMYFUNCTION("IMPORTRANGE(""https://docs.google.com/spreadsheets/d/1eHaY18a8A9IcSdp1K8H6x8fbOy06t2VsZHhMHf-1x7Y/edit?usp=sharing"",""แผน!AY87"")"),0)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IFERROR(__xludf.DUMMYFUNCTION("IMPORTRANGE(""https://docs.google.com/spreadsheets/d/1eHaY18a8A9IcSdp1K8H6x8fbOy06t2VsZHhMHf-1x7Y/edit?usp=sharing"",""แผน!AZ87"")"),0)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IFERROR(__xludf.DUMMYFUNCTION("IMPORTRANGE(""https://docs.google.com/spreadsheets/d/1eHaY18a8A9IcSdp1K8H6x8fbOy06t2VsZHhMHf-1x7Y/edit?usp=sharing"",""แผน!BA87"")"),0)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IFERROR(__xludf.DUMMYFUNCTION("IMPORTRANGE(""https://docs.google.com/spreadsheets/d/1eHaY18a8A9IcSdp1K8H6x8fbOy06t2VsZHhMHf-1x7Y/edit?usp=sharing"",""แผน!BG87"")"),0)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IFERROR(__xludf.DUMMYFUNCTION("IMPORTRANGE(""https://docs.google.com/spreadsheets/d/1eHaY18a8A9IcSdp1K8H6x8fbOy06t2VsZHhMHf-1x7Y/edit?usp=sharing"",""แผน!BB87"")"),0)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IFERROR(__xludf.DUMMYFUNCTION("IMPORTRANGE(""https://docs.google.com/spreadsheets/d/1eHaY18a8A9IcSdp1K8H6x8fbOy06t2VsZHhMHf-1x7Y/edit?usp=sharing"",""แผน!BC87"")"),0)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IFERROR(__xludf.DUMMYFUNCTION("IMPORTRANGE(""https://docs.google.com/spreadsheets/d/1eHaY18a8A9IcSdp1K8H6x8fbOy06t2VsZHhMHf-1x7Y/edit?usp=sharing"",""แผน!BD87"")"),0)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IFERROR(__xludf.DUMMYFUNCTION("IMPORTRANGE(""https://docs.google.com/spreadsheets/d/1eHaY18a8A9IcSdp1K8H6x8fbOy06t2VsZHhMHf-1x7Y/edit?usp=sharing"",""แผน!BE87"")"),0)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IFERROR(__xludf.DUMMYFUNCTION("IMPORTRANGE(""https://docs.google.com/spreadsheets/d/1eHaY18a8A9IcSdp1K8H6x8fbOy06t2VsZHhMHf-1x7Y/edit?usp=sharing"",""แผน!BH87"")"),0)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22</v>
      </c>
      <c r="J265" s="686">
        <f t="shared" si="163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4">L267+L268</f>
        <v>5000</v>
      </c>
      <c r="M266" s="441">
        <f t="shared" ca="1" si="164"/>
        <v>24500</v>
      </c>
      <c r="N266" s="441">
        <f t="shared" ca="1" si="164"/>
        <v>24500</v>
      </c>
      <c r="O266" s="441">
        <f t="shared" ref="O266:O274" ca="1" si="165">IF(L266&gt;0,N266*100/L266,0)</f>
        <v>490</v>
      </c>
      <c r="P266" s="441">
        <f t="shared" ref="P266:P274" ca="1" si="166">IF(M266&gt;0,N266*100/M266,0)</f>
        <v>100</v>
      </c>
      <c r="Q266" s="441">
        <f t="shared" ref="Q266:S266" ca="1" si="167">Q267+Q268</f>
        <v>50660</v>
      </c>
      <c r="R266" s="441">
        <f t="shared" ca="1" si="167"/>
        <v>50660</v>
      </c>
      <c r="S266" s="441">
        <f t="shared" ca="1" si="167"/>
        <v>50660</v>
      </c>
      <c r="T266" s="441">
        <f t="shared" ref="T266:T274" ca="1" si="168">IF(Q266&gt;0,S266*100/Q266,0)</f>
        <v>100</v>
      </c>
      <c r="U266" s="441">
        <f t="shared" ref="U266:U274" ca="1" si="169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70"/>
        <v>5000</v>
      </c>
      <c r="M268" s="352">
        <f t="shared" ca="1" si="170"/>
        <v>24500</v>
      </c>
      <c r="N268" s="352">
        <f t="shared" ca="1" si="170"/>
        <v>24500</v>
      </c>
      <c r="O268" s="352">
        <f t="shared" ca="1" si="165"/>
        <v>490</v>
      </c>
      <c r="P268" s="352">
        <f t="shared" ca="1" si="166"/>
        <v>100</v>
      </c>
      <c r="Q268" s="352">
        <f t="shared" ca="1" si="171"/>
        <v>50660</v>
      </c>
      <c r="R268" s="352">
        <f t="shared" ca="1" si="171"/>
        <v>50660</v>
      </c>
      <c r="S268" s="352">
        <f t="shared" ca="1" si="171"/>
        <v>50660</v>
      </c>
      <c r="T268" s="352">
        <f t="shared" ca="1" si="168"/>
        <v>100</v>
      </c>
      <c r="U268" s="352">
        <f t="shared" ca="1" si="169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2">L270+L271</f>
        <v>5000</v>
      </c>
      <c r="M269" s="352">
        <f t="shared" ca="1" si="172"/>
        <v>24500</v>
      </c>
      <c r="N269" s="352">
        <f t="shared" ca="1" si="172"/>
        <v>24500</v>
      </c>
      <c r="O269" s="352">
        <f t="shared" ca="1" si="165"/>
        <v>490</v>
      </c>
      <c r="P269" s="352">
        <f t="shared" ca="1" si="166"/>
        <v>100</v>
      </c>
      <c r="Q269" s="352">
        <f t="shared" ref="Q269:S269" ca="1" si="173">Q270+Q271</f>
        <v>50660</v>
      </c>
      <c r="R269" s="352">
        <f t="shared" ca="1" si="173"/>
        <v>50660</v>
      </c>
      <c r="S269" s="352">
        <f t="shared" ca="1" si="173"/>
        <v>50660</v>
      </c>
      <c r="T269" s="352">
        <f t="shared" ca="1" si="168"/>
        <v>100</v>
      </c>
      <c r="U269" s="352">
        <f t="shared" ca="1" si="169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IFERROR(__xludf.DUMMYFUNCTION("IMPORTRANGE(""https://docs.google.com/spreadsheets/d/1-uDff_7J0KD5mKrp0Vvzr7lt3OU09vwQwhkpOPPYv2Y/edit?usp=sharing"",""งบพรบ!DE87"")"),5000)</f>
        <v>5000</v>
      </c>
      <c r="M271" s="352">
        <f ca="1">IFERROR(__xludf.DUMMYFUNCTION("IMPORTRANGE(""https://docs.google.com/spreadsheets/d/1-uDff_7J0KD5mKrp0Vvzr7lt3OU09vwQwhkpOPPYv2Y/edit?usp=sharing"",""งบพรบ!DJ87"")"),24500)</f>
        <v>24500</v>
      </c>
      <c r="N271" s="352">
        <f ca="1">IFERROR(__xludf.DUMMYFUNCTION("IMPORTRANGE(""https://docs.google.com/spreadsheets/d/1-uDff_7J0KD5mKrp0Vvzr7lt3OU09vwQwhkpOPPYv2Y/edit?usp=sharing"",""งบพรบ!DL87"")"),24500)</f>
        <v>24500</v>
      </c>
      <c r="O271" s="352">
        <f t="shared" ca="1" si="165"/>
        <v>490</v>
      </c>
      <c r="P271" s="352">
        <f t="shared" ca="1" si="166"/>
        <v>100</v>
      </c>
      <c r="Q271" s="352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352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352">
        <f t="shared" ca="1" si="168"/>
        <v>100</v>
      </c>
      <c r="U271" s="352">
        <f t="shared" ca="1" si="169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4">L273+L274</f>
        <v>0</v>
      </c>
      <c r="M272" s="352">
        <f t="shared" ca="1" si="174"/>
        <v>0</v>
      </c>
      <c r="N272" s="352">
        <f t="shared" ca="1" si="174"/>
        <v>0</v>
      </c>
      <c r="O272" s="352">
        <f t="shared" ca="1" si="165"/>
        <v>0</v>
      </c>
      <c r="P272" s="352">
        <f t="shared" ca="1" si="166"/>
        <v>0</v>
      </c>
      <c r="Q272" s="352">
        <f t="shared" ref="Q272:S272" si="175">Q273+Q274</f>
        <v>0</v>
      </c>
      <c r="R272" s="352">
        <f t="shared" si="175"/>
        <v>0</v>
      </c>
      <c r="S272" s="352">
        <f t="shared" si="175"/>
        <v>0</v>
      </c>
      <c r="T272" s="352">
        <f t="shared" si="168"/>
        <v>0</v>
      </c>
      <c r="U272" s="352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IFERROR(__xludf.DUMMYFUNCTION("IMPORTRANGE(""https://docs.google.com/spreadsheets/d/1-uDff_7J0KD5mKrp0Vvzr7lt3OU09vwQwhkpOPPYv2Y/edit?usp=sharing"",""งบพรบ!DH87"")"),0)</f>
        <v>0</v>
      </c>
      <c r="M274" s="352">
        <f ca="1">IFERROR(__xludf.DUMMYFUNCTION("IMPORTRANGE(""https://docs.google.com/spreadsheets/d/1-uDff_7J0KD5mKrp0Vvzr7lt3OU09vwQwhkpOPPYv2Y/edit?usp=sharing"",""งบพรบ!DK87"")"),0)</f>
        <v>0</v>
      </c>
      <c r="N274" s="352">
        <f ca="1">IFERROR(__xludf.DUMMYFUNCTION("IMPORTRANGE(""https://docs.google.com/spreadsheets/d/1-uDff_7J0KD5mKrp0Vvzr7lt3OU09vwQwhkpOPPYv2Y/edit?usp=sharing"",""งบพรบ!DM87"")"),0)</f>
        <v>0</v>
      </c>
      <c r="O274" s="352">
        <f t="shared" ca="1" si="165"/>
        <v>0</v>
      </c>
      <c r="P274" s="352">
        <f t="shared" ca="1" si="166"/>
        <v>0</v>
      </c>
      <c r="Q274" s="352">
        <v>0</v>
      </c>
      <c r="R274" s="352">
        <v>0</v>
      </c>
      <c r="S274" s="352">
        <v>0</v>
      </c>
      <c r="T274" s="352">
        <f t="shared" si="168"/>
        <v>0</v>
      </c>
      <c r="U274" s="352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IFERROR(__xludf.DUMMYFUNCTION("IMPORTRANGE(""https://docs.google.com/spreadsheets/d/1eHaY18a8A9IcSdp1K8H6x8fbOy06t2VsZHhMHf-1x7Y/edit?usp=sharing"",""แผน!EC87"")"),22)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452"/>
      <c r="B291" s="453"/>
      <c r="C291" s="922" t="s">
        <v>18</v>
      </c>
      <c r="D291" s="694" t="s">
        <v>38</v>
      </c>
      <c r="E291" s="455"/>
      <c r="F291" s="455"/>
      <c r="G291" s="456"/>
      <c r="H291" s="459"/>
      <c r="I291" s="448"/>
      <c r="J291" s="448"/>
      <c r="K291" s="449"/>
      <c r="L291" s="695"/>
      <c r="M291" s="449"/>
      <c r="N291" s="449"/>
      <c r="O291" s="449"/>
      <c r="P291" s="449"/>
      <c r="Q291" s="449"/>
      <c r="R291" s="449"/>
      <c r="S291" s="449"/>
      <c r="T291" s="449"/>
      <c r="U291" s="449"/>
    </row>
    <row r="292" spans="1:21" ht="18.75" hidden="1" x14ac:dyDescent="0.25">
      <c r="A292" s="452"/>
      <c r="B292" s="453"/>
      <c r="C292" s="453"/>
      <c r="D292" s="793" t="s">
        <v>120</v>
      </c>
      <c r="E292" s="453"/>
      <c r="F292" s="442"/>
      <c r="G292" s="459"/>
      <c r="H292" s="923" t="s">
        <v>46</v>
      </c>
      <c r="I292" s="351">
        <f ca="1">IFERROR(__xludf.DUMMYFUNCTION("IMPORTRANGE(""https://docs.google.com/spreadsheets/d/1eHaY18a8A9IcSdp1K8H6x8fbOy06t2VsZHhMHf-1x7Y/edit?usp=sharing"",""แผน!EE87"")"),0)</f>
        <v>0</v>
      </c>
      <c r="J292" s="795">
        <v>0</v>
      </c>
      <c r="K292" s="924">
        <f t="shared" ref="K292:K293" ca="1" si="191">IF(I292&gt;0,J292*100/I292,0)</f>
        <v>0</v>
      </c>
      <c r="L292" s="695"/>
      <c r="M292" s="449"/>
      <c r="N292" s="449"/>
      <c r="O292" s="449"/>
      <c r="P292" s="449"/>
      <c r="Q292" s="449"/>
      <c r="R292" s="449"/>
      <c r="S292" s="449"/>
      <c r="T292" s="449"/>
      <c r="U292" s="449"/>
    </row>
    <row r="293" spans="1:21" ht="19.5" hidden="1" x14ac:dyDescent="0.3">
      <c r="A293" s="452"/>
      <c r="B293" s="453"/>
      <c r="C293" s="453"/>
      <c r="D293" s="793" t="s">
        <v>121</v>
      </c>
      <c r="E293" s="453"/>
      <c r="F293" s="442"/>
      <c r="G293" s="459"/>
      <c r="H293" s="925" t="s">
        <v>35</v>
      </c>
      <c r="I293" s="926">
        <f ca="1">IFERROR(__xludf.DUMMYFUNCTION("IMPORTRANGE(""https://docs.google.com/spreadsheets/d/1eHaY18a8A9IcSdp1K8H6x8fbOy06t2VsZHhMHf-1x7Y/edit?usp=sharing"",""แผน!ED87"")"),0)</f>
        <v>0</v>
      </c>
      <c r="J293" s="926">
        <f>J296</f>
        <v>0</v>
      </c>
      <c r="K293" s="927">
        <f t="shared" ca="1" si="191"/>
        <v>0</v>
      </c>
      <c r="L293" s="695"/>
      <c r="M293" s="449"/>
      <c r="N293" s="449"/>
      <c r="O293" s="449"/>
      <c r="P293" s="449"/>
      <c r="Q293" s="449"/>
      <c r="R293" s="449"/>
      <c r="S293" s="449"/>
      <c r="T293" s="449"/>
      <c r="U293" s="449"/>
    </row>
    <row r="294" spans="1:21" ht="19.5" hidden="1" x14ac:dyDescent="0.3">
      <c r="A294" s="452"/>
      <c r="B294" s="453"/>
      <c r="C294" s="453"/>
      <c r="D294" s="442"/>
      <c r="E294" s="928" t="s">
        <v>333</v>
      </c>
      <c r="F294" s="442"/>
      <c r="G294" s="459"/>
      <c r="H294" s="459"/>
      <c r="I294" s="448"/>
      <c r="J294" s="440"/>
      <c r="K294" s="449"/>
      <c r="L294" s="695"/>
      <c r="M294" s="449"/>
      <c r="N294" s="449"/>
      <c r="O294" s="449"/>
      <c r="P294" s="449"/>
      <c r="Q294" s="449"/>
      <c r="R294" s="449"/>
      <c r="S294" s="449"/>
      <c r="T294" s="449"/>
      <c r="U294" s="449"/>
    </row>
    <row r="295" spans="1:21" ht="19.5" hidden="1" x14ac:dyDescent="0.3">
      <c r="A295" s="452"/>
      <c r="B295" s="453"/>
      <c r="C295" s="453"/>
      <c r="D295" s="442"/>
      <c r="E295" s="793" t="s">
        <v>334</v>
      </c>
      <c r="F295" s="442"/>
      <c r="G295" s="459"/>
      <c r="H295" s="877" t="s">
        <v>35</v>
      </c>
      <c r="I295" s="929">
        <f ca="1">IFERROR(__xludf.DUMMYFUNCTION("IMPORTRANGE(""https://docs.google.com/spreadsheets/d/1eHaY18a8A9IcSdp1K8H6x8fbOy06t2VsZHhMHf-1x7Y/edit?usp=sharing"",""แผน!ED87"")"),0)</f>
        <v>0</v>
      </c>
      <c r="J295" s="795">
        <v>0</v>
      </c>
      <c r="K295" s="924">
        <f t="shared" ref="K295:K296" ca="1" si="192">IF(I295&gt;0,J295*100/I295,0)</f>
        <v>0</v>
      </c>
      <c r="L295" s="695"/>
      <c r="M295" s="449"/>
      <c r="N295" s="449"/>
      <c r="O295" s="449"/>
      <c r="P295" s="449"/>
      <c r="Q295" s="449"/>
      <c r="R295" s="449"/>
      <c r="S295" s="449"/>
      <c r="T295" s="449"/>
      <c r="U295" s="449"/>
    </row>
    <row r="296" spans="1:21" ht="19.5" hidden="1" x14ac:dyDescent="0.3">
      <c r="A296" s="452"/>
      <c r="B296" s="453"/>
      <c r="C296" s="453"/>
      <c r="D296" s="442"/>
      <c r="E296" s="793" t="s">
        <v>335</v>
      </c>
      <c r="F296" s="442"/>
      <c r="G296" s="459"/>
      <c r="H296" s="877" t="s">
        <v>35</v>
      </c>
      <c r="I296" s="929">
        <f ca="1">IFERROR(__xludf.DUMMYFUNCTION("IMPORTRANGE(""https://docs.google.com/spreadsheets/d/1eHaY18a8A9IcSdp1K8H6x8fbOy06t2VsZHhMHf-1x7Y/edit?usp=sharing"",""แผน!ED87"")"),0)</f>
        <v>0</v>
      </c>
      <c r="J296" s="795">
        <v>0</v>
      </c>
      <c r="K296" s="924">
        <f t="shared" ca="1" si="192"/>
        <v>0</v>
      </c>
      <c r="L296" s="695"/>
      <c r="M296" s="449"/>
      <c r="N296" s="449"/>
      <c r="O296" s="449"/>
      <c r="P296" s="449"/>
      <c r="Q296" s="449"/>
      <c r="R296" s="449"/>
      <c r="S296" s="449"/>
      <c r="T296" s="449"/>
      <c r="U296" s="449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25</v>
      </c>
      <c r="J302" s="321">
        <f t="shared" si="193"/>
        <v>25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0</v>
      </c>
      <c r="M303" s="133">
        <f t="shared" ca="1" si="194"/>
        <v>0</v>
      </c>
      <c r="N303" s="133">
        <f t="shared" ca="1" si="194"/>
        <v>0</v>
      </c>
      <c r="O303" s="133">
        <f t="shared" ref="O303:O311" ca="1" si="195">IF(L303&gt;0,N303*100/L303,0)</f>
        <v>0</v>
      </c>
      <c r="P303" s="133">
        <f t="shared" ref="P303:P311" ca="1" si="196">IF(M303&gt;0,N303*100/M303,0)</f>
        <v>0</v>
      </c>
      <c r="Q303" s="133">
        <f t="shared" ref="Q303:S303" ca="1" si="197">Q304+Q305</f>
        <v>226234.22</v>
      </c>
      <c r="R303" s="133">
        <f t="shared" ca="1" si="197"/>
        <v>188484</v>
      </c>
      <c r="S303" s="133">
        <f t="shared" ca="1" si="197"/>
        <v>188484</v>
      </c>
      <c r="T303" s="133">
        <f t="shared" ref="T303:T311" ca="1" si="198">IF(Q303&gt;0,S303*100/Q303,0)</f>
        <v>83.313656086157081</v>
      </c>
      <c r="U303" s="133">
        <f t="shared" ref="U303:U311" ca="1" si="199">IF(R303&gt;0,S303*100/R303,0)</f>
        <v>100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0</v>
      </c>
      <c r="M305" s="47">
        <f t="shared" ca="1" si="200"/>
        <v>0</v>
      </c>
      <c r="N305" s="47">
        <f t="shared" ca="1" si="200"/>
        <v>0</v>
      </c>
      <c r="O305" s="47">
        <f t="shared" ca="1" si="195"/>
        <v>0</v>
      </c>
      <c r="P305" s="47">
        <f t="shared" ca="1" si="196"/>
        <v>0</v>
      </c>
      <c r="Q305" s="47">
        <f t="shared" ca="1" si="201"/>
        <v>226234.22</v>
      </c>
      <c r="R305" s="47">
        <f t="shared" ca="1" si="201"/>
        <v>188484</v>
      </c>
      <c r="S305" s="47">
        <f t="shared" ca="1" si="201"/>
        <v>188484</v>
      </c>
      <c r="T305" s="47">
        <f t="shared" ca="1" si="198"/>
        <v>83.313656086157081</v>
      </c>
      <c r="U305" s="47">
        <f t="shared" ca="1" si="199"/>
        <v>100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0</v>
      </c>
      <c r="M306" s="47">
        <f t="shared" ca="1" si="202"/>
        <v>0</v>
      </c>
      <c r="N306" s="47">
        <f t="shared" ca="1" si="202"/>
        <v>0</v>
      </c>
      <c r="O306" s="47">
        <f t="shared" ca="1" si="195"/>
        <v>0</v>
      </c>
      <c r="P306" s="47">
        <f t="shared" ca="1" si="196"/>
        <v>0</v>
      </c>
      <c r="Q306" s="47">
        <f t="shared" ref="Q306:S306" ca="1" si="203">Q307+Q308</f>
        <v>226234.22</v>
      </c>
      <c r="R306" s="47">
        <f t="shared" ca="1" si="203"/>
        <v>188484</v>
      </c>
      <c r="S306" s="47">
        <f t="shared" ca="1" si="203"/>
        <v>188484</v>
      </c>
      <c r="T306" s="47">
        <f t="shared" ca="1" si="198"/>
        <v>83.313656086157081</v>
      </c>
      <c r="U306" s="47">
        <f t="shared" ca="1" si="199"/>
        <v>100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t="shared" ca="1" si="195"/>
        <v>0</v>
      </c>
      <c r="P308" s="47">
        <f t="shared" ca="1" si="196"/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IFERROR(__xludf.DUMMYFUNCTION("IMPORTRANGE(""https://docs.google.com/spreadsheets/d/1ItG2mGa2ceCfYo0BwxsXqNm01IGEUdYcSSLTEv9YCik/edit?usp=sharing"",""เบิกจ่ายกองทุน!BC87"")"),188484)</f>
        <v>188484</v>
      </c>
      <c r="S308" s="47">
        <f ca="1">IFERROR(__xludf.DUMMYFUNCTION("IMPORTRANGE(""https://docs.google.com/spreadsheets/d/1ItG2mGa2ceCfYo0BwxsXqNm01IGEUdYcSSLTEv9YCik/edit?usp=sharing"",""เบิกจ่ายกองทุน!BD87"")"),188484)</f>
        <v>188484</v>
      </c>
      <c r="T308" s="47">
        <f t="shared" ca="1" si="198"/>
        <v>83.313656086157081</v>
      </c>
      <c r="U308" s="47">
        <f t="shared" ca="1" si="199"/>
        <v>100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IFERROR(__xludf.DUMMYFUNCTION("IMPORTRANGE(""https://docs.google.com/spreadsheets/d/1eHaY18a8A9IcSdp1K8H6x8fbOy06t2VsZHhMHf-1x7Y/edit?usp=sharing"",""แผน!EF87"")"),25)</f>
        <v>25</v>
      </c>
      <c r="J314" s="169">
        <v>25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0</v>
      </c>
      <c r="J319" s="321">
        <f t="shared" si="206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0</v>
      </c>
      <c r="M320" s="133">
        <f t="shared" ca="1" si="207"/>
        <v>0</v>
      </c>
      <c r="N320" s="133">
        <f t="shared" ca="1" si="207"/>
        <v>0</v>
      </c>
      <c r="O320" s="133">
        <f t="shared" ref="O320:O328" ca="1" si="208">IF(L320&gt;0,N320*100/L320,0)</f>
        <v>0</v>
      </c>
      <c r="P320" s="133">
        <f t="shared" ref="P320:P328" ca="1" si="209">IF(M320&gt;0,N320*100/M320,0)</f>
        <v>0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0</v>
      </c>
      <c r="M322" s="47">
        <f t="shared" ca="1" si="213"/>
        <v>0</v>
      </c>
      <c r="N322" s="47">
        <f t="shared" ca="1" si="213"/>
        <v>0</v>
      </c>
      <c r="O322" s="47">
        <f t="shared" ca="1" si="208"/>
        <v>0</v>
      </c>
      <c r="P322" s="47">
        <f t="shared" ca="1" si="209"/>
        <v>0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0</v>
      </c>
      <c r="M323" s="47">
        <f t="shared" ca="1" si="215"/>
        <v>0</v>
      </c>
      <c r="N323" s="47">
        <f t="shared" ca="1" si="215"/>
        <v>0</v>
      </c>
      <c r="O323" s="47">
        <f t="shared" ca="1" si="208"/>
        <v>0</v>
      </c>
      <c r="P323" s="47">
        <f t="shared" ca="1" si="209"/>
        <v>0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t="shared" ca="1" si="208"/>
        <v>0</v>
      </c>
      <c r="P325" s="47">
        <f t="shared" ca="1" si="209"/>
        <v>0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IFERROR(__xludf.DUMMYFUNCTION("IMPORTRANGE(""https://docs.google.com/spreadsheets/d/1eHaY18a8A9IcSdp1K8H6x8fbOy06t2VsZHhMHf-1x7Y/edit?usp=sharing"",""แผน!EJ87"")"),0)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IFERROR(__xludf.DUMMYFUNCTION("IMPORTRANGE(""https://docs.google.com/spreadsheets/d/1eHaY18a8A9IcSdp1K8H6x8fbOy06t2VsZHhMHf-1x7Y/edit?usp=sharing"",""แผน!EK87"")"),200)</f>
        <v>200</v>
      </c>
      <c r="J332" s="718">
        <f ca="1">J344+J347+J348+J349+J353+J354</f>
        <v>633</v>
      </c>
      <c r="K332" s="719">
        <f ca="1">IF(I332&gt;0,J332*100/I332,0)</f>
        <v>316.5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356800</v>
      </c>
      <c r="M333" s="133">
        <f t="shared" ca="1" si="219"/>
        <v>356800</v>
      </c>
      <c r="N333" s="133">
        <f t="shared" ca="1" si="219"/>
        <v>334184</v>
      </c>
      <c r="O333" s="133">
        <f t="shared" ref="O333:O341" ca="1" si="220">IF(L333&gt;0,N333*100/L333,0)</f>
        <v>93.66143497757848</v>
      </c>
      <c r="P333" s="133">
        <f t="shared" ref="P333:P341" ca="1" si="221">IF(M333&gt;0,N333*100/M333,0)</f>
        <v>93.66143497757848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356800</v>
      </c>
      <c r="M335" s="47">
        <f t="shared" ca="1" si="225"/>
        <v>356800</v>
      </c>
      <c r="N335" s="47">
        <f t="shared" ca="1" si="225"/>
        <v>334184</v>
      </c>
      <c r="O335" s="47">
        <f t="shared" ca="1" si="220"/>
        <v>93.66143497757848</v>
      </c>
      <c r="P335" s="47">
        <f t="shared" ca="1" si="221"/>
        <v>93.66143497757848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356800</v>
      </c>
      <c r="M336" s="47">
        <f t="shared" ca="1" si="227"/>
        <v>356800</v>
      </c>
      <c r="N336" s="47">
        <f t="shared" ca="1" si="227"/>
        <v>334184</v>
      </c>
      <c r="O336" s="47">
        <f t="shared" ca="1" si="220"/>
        <v>93.66143497757848</v>
      </c>
      <c r="P336" s="47">
        <f t="shared" ca="1" si="221"/>
        <v>93.66143497757848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IFERROR(__xludf.DUMMYFUNCTION("IMPORTRANGE(""https://docs.google.com/spreadsheets/d/1-uDff_7J0KD5mKrp0Vvzr7lt3OU09vwQwhkpOPPYv2Y/edit?usp=sharing"",""งบพรบ!EX87"")"),356800)</f>
        <v>356800</v>
      </c>
      <c r="N338" s="47">
        <f ca="1">IFERROR(__xludf.DUMMYFUNCTION("IMPORTRANGE(""https://docs.google.com/spreadsheets/d/1-uDff_7J0KD5mKrp0Vvzr7lt3OU09vwQwhkpOPPYv2Y/edit?usp=sharing"",""งบพรบ!EZ87"")"),334184)</f>
        <v>334184</v>
      </c>
      <c r="O338" s="47">
        <f t="shared" ca="1" si="220"/>
        <v>93.66143497757848</v>
      </c>
      <c r="P338" s="47">
        <f t="shared" ca="1" si="221"/>
        <v>93.66143497757848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183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IFERROR(__xludf.DUMMYFUNCTION("IMPORTRANGE(""https://docs.google.com/spreadsheets/d/1awYsYK3VOup2i3Pq_Yjnu8DRu_mYwSBnCR2QPthd0rU/edit?usp=sharing"",""ศูนย์ยกเว้นโฉนด!D87"")"),76)</f>
        <v>76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IFERROR(__xludf.DUMMYFUNCTION("IMPORTRANGE(""https://docs.google.com/spreadsheets/d/1eHaY18a8A9IcSdp1K8H6x8fbOy06t2VsZHhMHf-1x7Y/edit?usp=sharing"",""แผน!EL87"")"),2)</f>
        <v>2</v>
      </c>
      <c r="J346" s="372">
        <f ca="1">IFERROR(__xludf.DUMMYFUNCTION("IMPORTRANGE(""https://docs.google.com/spreadsheets/d/1awYsYK3VOup2i3Pq_Yjnu8DRu_mYwSBnCR2QPthd0rU/edit?usp=sharing"",""ศูนย์รวม!E87"")"),5)</f>
        <v>5</v>
      </c>
      <c r="K346" s="47">
        <f ca="1">IF(I346&gt;0,J346*100/I346,0)</f>
        <v>250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450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IFERROR(__xludf.DUMMYFUNCTION("IMPORTRANGE(""https://docs.google.com/spreadsheets/d/1awYsYK3VOup2i3Pq_Yjnu8DRu_mYwSBnCR2QPthd0rU/edit?usp=sharing"",""โฉนดM3!G87"")"),48)</f>
        <v>48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IFERROR(__xludf.DUMMYFUNCTION("IMPORTRANGE(""https://docs.google.com/spreadsheets/d/1awYsYK3VOup2i3Pq_Yjnu8DRu_mYwSBnCR2QPthd0rU/edit?usp=sharing"",""โฉนดM3!H87"")"),246)</f>
        <v>246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IFERROR(__xludf.DUMMYFUNCTION("IMPORTRANGE(""https://docs.google.com/spreadsheets/d/1awYsYK3VOup2i3Pq_Yjnu8DRu_mYwSBnCR2QPthd0rU/edit?usp=sharing"",""โฉนดM3!I87"")"),204)</f>
        <v>204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229590</v>
      </c>
      <c r="M356" s="133">
        <f t="shared" ca="1" si="231"/>
        <v>272590</v>
      </c>
      <c r="N356" s="133">
        <f t="shared" ca="1" si="231"/>
        <v>243238.32</v>
      </c>
      <c r="O356" s="133">
        <f t="shared" ref="O356:O364" ca="1" si="232">IF(L356&gt;0,N356*100/L356,0)</f>
        <v>105.94464915719325</v>
      </c>
      <c r="P356" s="133">
        <f t="shared" ref="P356:P364" ca="1" si="233">IF(M356&gt;0,N356*100/M356,0)</f>
        <v>89.232297589786853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229590</v>
      </c>
      <c r="M358" s="47">
        <f t="shared" ca="1" si="237"/>
        <v>272590</v>
      </c>
      <c r="N358" s="47">
        <f t="shared" ca="1" si="237"/>
        <v>243238.32</v>
      </c>
      <c r="O358" s="47">
        <f t="shared" ca="1" si="232"/>
        <v>105.94464915719325</v>
      </c>
      <c r="P358" s="47">
        <f t="shared" ca="1" si="233"/>
        <v>89.232297589786853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229590</v>
      </c>
      <c r="M359" s="47">
        <f t="shared" ca="1" si="239"/>
        <v>272590</v>
      </c>
      <c r="N359" s="47">
        <f t="shared" ca="1" si="239"/>
        <v>243238.32</v>
      </c>
      <c r="O359" s="47">
        <f t="shared" ca="1" si="232"/>
        <v>105.94464915719325</v>
      </c>
      <c r="P359" s="47">
        <f t="shared" ca="1" si="233"/>
        <v>89.232297589786853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IFERROR(__xludf.DUMMYFUNCTION("IMPORTRANGE(""https://docs.google.com/spreadsheets/d/1-uDff_7J0KD5mKrp0Vvzr7lt3OU09vwQwhkpOPPYv2Y/edit?usp=sharing"",""งบพรบ!FH87"")"),272590)</f>
        <v>272590</v>
      </c>
      <c r="N361" s="47">
        <f ca="1">IFERROR(__xludf.DUMMYFUNCTION("IMPORTRANGE(""https://docs.google.com/spreadsheets/d/1-uDff_7J0KD5mKrp0Vvzr7lt3OU09vwQwhkpOPPYv2Y/edit?usp=sharing"",""งบพรบ!FJ87"")"),243238.32)</f>
        <v>243238.32</v>
      </c>
      <c r="O361" s="47">
        <f t="shared" ca="1" si="232"/>
        <v>105.94464915719325</v>
      </c>
      <c r="P361" s="47">
        <f t="shared" ca="1" si="233"/>
        <v>89.232297589786853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77</v>
      </c>
      <c r="J365" s="236">
        <f t="shared" ca="1" si="243"/>
        <v>99</v>
      </c>
      <c r="K365" s="237">
        <f ca="1">IF(I365&gt;0,J365*100/I365,0)</f>
        <v>128.57142857142858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IFERROR(__xludf.DUMMYFUNCTION("IMPORTRANGE(""https://docs.google.com/spreadsheets/d/1tdoBKaGub7dwA3U6UFTqxio9LNnvDCQjHKmttSEBsFQ/edit?usp=sharing"",""จัดที่ดิน!AB87"")"),46)</f>
        <v>46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IFERROR(__xludf.DUMMYFUNCTION("IMPORTRANGE(""https://docs.google.com/spreadsheets/d/1eHaY18a8A9IcSdp1K8H6x8fbOy06t2VsZHhMHf-1x7Y/edit?usp=sharing"",""แผน!EW87"")"),230)</f>
        <v>230</v>
      </c>
      <c r="J368" s="729">
        <f ca="1">IFERROR(__xludf.DUMMYFUNCTION("IMPORTRANGE(""https://docs.google.com/spreadsheets/d/1tdoBKaGub7dwA3U6UFTqxio9LNnvDCQjHKmttSEBsFQ/edit?usp=sharing"",""จัดที่ดิน!AC87"")"),288.88)</f>
        <v>288.88</v>
      </c>
      <c r="K368" s="47">
        <f t="shared" ca="1" si="244"/>
        <v>125.6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IFERROR(__xludf.DUMMYFUNCTION("IMPORTRANGE(""https://docs.google.com/spreadsheets/d/1eHaY18a8A9IcSdp1K8H6x8fbOy06t2VsZHhMHf-1x7Y/edit?usp=sharing"",""แผน!EX87"")"),77)</f>
        <v>77</v>
      </c>
      <c r="J369" s="372">
        <f ca="1">IFERROR(__xludf.DUMMYFUNCTION("IMPORTRANGE(""https://docs.google.com/spreadsheets/d/1tdoBKaGub7dwA3U6UFTqxio9LNnvDCQjHKmttSEBsFQ/edit?usp=sharing"",""จัดที่ดิน!AD87"")"),100)</f>
        <v>100</v>
      </c>
      <c r="K369" s="47">
        <f t="shared" ca="1" si="244"/>
        <v>129.87012987012986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IFERROR(__xludf.DUMMYFUNCTION("IMPORTRANGE(""https://docs.google.com/spreadsheets/d/1tdoBKaGub7dwA3U6UFTqxio9LNnvDCQjHKmttSEBsFQ/edit?usp=sharing"",""จัดที่ดิน!AE87"")"),694.77)</f>
        <v>694.77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IFERROR(__xludf.DUMMYFUNCTION("IMPORTRANGE(""https://docs.google.com/spreadsheets/d/1eHaY18a8A9IcSdp1K8H6x8fbOy06t2VsZHhMHf-1x7Y/edit?usp=sharing"",""แผน!EY87"")"),77)</f>
        <v>77</v>
      </c>
      <c r="J371" s="372">
        <f ca="1">IFERROR(__xludf.DUMMYFUNCTION("IMPORTRANGE(""https://docs.google.com/spreadsheets/d/1tdoBKaGub7dwA3U6UFTqxio9LNnvDCQjHKmttSEBsFQ/edit?usp=sharing"",""จัดที่ดิน!AF87"")"),99)</f>
        <v>99</v>
      </c>
      <c r="K371" s="47">
        <f t="shared" ca="1" si="244"/>
        <v>128.57142857142858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IFERROR(__xludf.DUMMYFUNCTION("IMPORTRANGE(""https://docs.google.com/spreadsheets/d/1tdoBKaGub7dwA3U6UFTqxio9LNnvDCQjHKmttSEBsFQ/edit?usp=sharing"",""จัดที่ดิน!AG87"")"),673.79)</f>
        <v>673.79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0</v>
      </c>
      <c r="J374" s="737">
        <f t="shared" ca="1" si="245"/>
        <v>0</v>
      </c>
      <c r="K374" s="738">
        <f ca="1">IF(I374&gt;0,J374*100/I374,0)</f>
        <v>0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0</v>
      </c>
      <c r="M375" s="133">
        <f t="shared" ca="1" si="246"/>
        <v>0</v>
      </c>
      <c r="N375" s="133">
        <f t="shared" ca="1" si="246"/>
        <v>0</v>
      </c>
      <c r="O375" s="133">
        <f t="shared" ref="O375:O383" ca="1" si="247">IF(L375&gt;0,N375*100/L375,0)</f>
        <v>0</v>
      </c>
      <c r="P375" s="133">
        <f t="shared" ref="P375:P383" ca="1" si="248">IF(M375&gt;0,N375*100/M375,0)</f>
        <v>0</v>
      </c>
      <c r="Q375" s="133">
        <f t="shared" ref="Q375:S375" ca="1" si="249">Q376+Q377</f>
        <v>9375</v>
      </c>
      <c r="R375" s="133">
        <f t="shared" ca="1" si="249"/>
        <v>0</v>
      </c>
      <c r="S375" s="133">
        <f t="shared" ca="1" si="249"/>
        <v>0</v>
      </c>
      <c r="T375" s="133">
        <f t="shared" ref="T375:T383" ca="1" si="250">IF(Q375&gt;0,S375*100/Q375,0)</f>
        <v>0</v>
      </c>
      <c r="U375" s="133">
        <f t="shared" ref="U375:U383" ca="1" si="251">IF(R375&gt;0,S375*100/R375,0)</f>
        <v>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0</v>
      </c>
      <c r="M377" s="47">
        <f t="shared" ca="1" si="252"/>
        <v>0</v>
      </c>
      <c r="N377" s="47">
        <f t="shared" ca="1" si="252"/>
        <v>0</v>
      </c>
      <c r="O377" s="47">
        <f t="shared" ca="1" si="247"/>
        <v>0</v>
      </c>
      <c r="P377" s="47">
        <f t="shared" ca="1" si="248"/>
        <v>0</v>
      </c>
      <c r="Q377" s="47">
        <f t="shared" ca="1" si="253"/>
        <v>9375</v>
      </c>
      <c r="R377" s="47">
        <f t="shared" ca="1" si="253"/>
        <v>0</v>
      </c>
      <c r="S377" s="47">
        <f t="shared" ca="1" si="253"/>
        <v>0</v>
      </c>
      <c r="T377" s="47">
        <f t="shared" ca="1" si="250"/>
        <v>0</v>
      </c>
      <c r="U377" s="47">
        <f t="shared" ca="1" si="251"/>
        <v>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0</v>
      </c>
      <c r="M378" s="47">
        <f t="shared" ca="1" si="254"/>
        <v>0</v>
      </c>
      <c r="N378" s="47">
        <f t="shared" ca="1" si="254"/>
        <v>0</v>
      </c>
      <c r="O378" s="47">
        <f t="shared" ca="1" si="247"/>
        <v>0</v>
      </c>
      <c r="P378" s="47">
        <f t="shared" ca="1" si="248"/>
        <v>0</v>
      </c>
      <c r="Q378" s="47">
        <f t="shared" ref="Q378:S378" ca="1" si="255">Q379+Q380</f>
        <v>9375</v>
      </c>
      <c r="R378" s="47">
        <f t="shared" ca="1" si="255"/>
        <v>0</v>
      </c>
      <c r="S378" s="47">
        <f t="shared" ca="1" si="255"/>
        <v>0</v>
      </c>
      <c r="T378" s="47">
        <f t="shared" ca="1" si="250"/>
        <v>0</v>
      </c>
      <c r="U378" s="47">
        <f t="shared" ca="1" si="251"/>
        <v>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t="shared" ca="1" si="247"/>
        <v>0</v>
      </c>
      <c r="P380" s="47">
        <f t="shared" ca="1" si="248"/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t="shared" ca="1" si="250"/>
        <v>0</v>
      </c>
      <c r="U380" s="47">
        <f t="shared" ca="1" si="251"/>
        <v>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IFERROR(__xludf.DUMMYFUNCTION("IMPORTRANGE(""https://docs.google.com/spreadsheets/d/1w5rwWK1o49a35cNtocGL0gxDwhFSTZUQu90BiH9_zqM/edit?usp=sharing"",""RTK!H87"")"),0)</f>
        <v>0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IFERROR(__xludf.DUMMYFUNCTION("IMPORTRANGE(""https://docs.google.com/spreadsheets/d/1w5rwWK1o49a35cNtocGL0gxDwhFSTZUQu90BiH9_zqM/edit?usp=sharing"",""RTK!G87"")"),0)</f>
        <v>0</v>
      </c>
      <c r="J386" s="372">
        <f ca="1">IFERROR(__xludf.DUMMYFUNCTION("IMPORTRANGE(""https://docs.google.com/spreadsheets/d/1w5rwWK1o49a35cNtocGL0gxDwhFSTZUQu90BiH9_zqM/edit?usp=sharing"",""RTK!I87"")"),0)</f>
        <v>0</v>
      </c>
      <c r="K386" s="47">
        <f t="shared" ca="1" si="258"/>
        <v>0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IFERROR(__xludf.DUMMYFUNCTION("IMPORTRANGE(""https://docs.google.com/spreadsheets/d/1w5rwWK1o49a35cNtocGL0gxDwhFSTZUQu90BiH9_zqM/edit?usp=sharing"",""RTK!L87"")"),0)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IFERROR(__xludf.DUMMYFUNCTION("IMPORTRANGE(""https://docs.google.com/spreadsheets/d/1w5rwWK1o49a35cNtocGL0gxDwhFSTZUQu90BiH9_zqM/edit?usp=sharing"",""RTK!K87"")"),0)</f>
        <v>0</v>
      </c>
      <c r="J388" s="351">
        <f ca="1">IFERROR(__xludf.DUMMYFUNCTION("IMPORTRANGE(""https://docs.google.com/spreadsheets/d/1w5rwWK1o49a35cNtocGL0gxDwhFSTZUQu90BiH9_zqM/edit?usp=sharing"",""RTK!M87"")"),0)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0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17560</v>
      </c>
      <c r="M413" s="133">
        <f t="shared" ca="1" si="273"/>
        <v>17560</v>
      </c>
      <c r="N413" s="133">
        <f t="shared" ca="1" si="273"/>
        <v>17560</v>
      </c>
      <c r="O413" s="133">
        <f t="shared" ref="O413:O421" ca="1" si="274">IF(L413&gt;0,N413*100/L413,0)</f>
        <v>100</v>
      </c>
      <c r="P413" s="133">
        <f t="shared" ref="P413:P421" ca="1" si="275">IF(M413&gt;0,N413*100/M413,0)</f>
        <v>100</v>
      </c>
      <c r="Q413" s="133">
        <f t="shared" ref="Q413:S413" ca="1" si="276">Q414+Q415</f>
        <v>15150</v>
      </c>
      <c r="R413" s="133">
        <f t="shared" ca="1" si="276"/>
        <v>14924.1</v>
      </c>
      <c r="S413" s="133">
        <f t="shared" ca="1" si="276"/>
        <v>14924.1</v>
      </c>
      <c r="T413" s="133">
        <f t="shared" ref="T413:T421" ca="1" si="277">IF(Q413&gt;0,S413*100/Q413,0)</f>
        <v>98.508910891089116</v>
      </c>
      <c r="U413" s="133">
        <f t="shared" ref="U413:U421" ca="1" si="278">IF(R413&gt;0,S413*100/R413,0)</f>
        <v>100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17560</v>
      </c>
      <c r="M415" s="47">
        <f t="shared" ca="1" si="279"/>
        <v>17560</v>
      </c>
      <c r="N415" s="47">
        <f t="shared" ca="1" si="279"/>
        <v>17560</v>
      </c>
      <c r="O415" s="47">
        <f t="shared" ca="1" si="274"/>
        <v>100</v>
      </c>
      <c r="P415" s="47">
        <f t="shared" ca="1" si="275"/>
        <v>100</v>
      </c>
      <c r="Q415" s="47">
        <f t="shared" ca="1" si="280"/>
        <v>15150</v>
      </c>
      <c r="R415" s="47">
        <f t="shared" ca="1" si="280"/>
        <v>14924.1</v>
      </c>
      <c r="S415" s="47">
        <f t="shared" ca="1" si="280"/>
        <v>14924.1</v>
      </c>
      <c r="T415" s="47">
        <f t="shared" ca="1" si="277"/>
        <v>98.508910891089116</v>
      </c>
      <c r="U415" s="47">
        <f t="shared" ca="1" si="278"/>
        <v>100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17560</v>
      </c>
      <c r="M416" s="47">
        <f t="shared" ca="1" si="281"/>
        <v>17560</v>
      </c>
      <c r="N416" s="47">
        <f t="shared" ca="1" si="281"/>
        <v>17560</v>
      </c>
      <c r="O416" s="47">
        <f t="shared" ca="1" si="274"/>
        <v>100</v>
      </c>
      <c r="P416" s="47">
        <f t="shared" ca="1" si="275"/>
        <v>100</v>
      </c>
      <c r="Q416" s="47">
        <f t="shared" ref="Q416:S416" ca="1" si="282">Q417+Q418</f>
        <v>15150</v>
      </c>
      <c r="R416" s="47">
        <f t="shared" ca="1" si="282"/>
        <v>14924.1</v>
      </c>
      <c r="S416" s="47">
        <f t="shared" ca="1" si="282"/>
        <v>14924.1</v>
      </c>
      <c r="T416" s="47">
        <f t="shared" ca="1" si="277"/>
        <v>98.508910891089116</v>
      </c>
      <c r="U416" s="47">
        <f t="shared" ca="1" si="278"/>
        <v>100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IFERROR(__xludf.DUMMYFUNCTION("IMPORTRANGE(""https://docs.google.com/spreadsheets/d/1-uDff_7J0KD5mKrp0Vvzr7lt3OU09vwQwhkpOPPYv2Y/edit?usp=sharing"",""งบพรบ!IT87"")"),17560)</f>
        <v>17560</v>
      </c>
      <c r="N418" s="47">
        <f ca="1">IFERROR(__xludf.DUMMYFUNCTION("IMPORTRANGE(""https://docs.google.com/spreadsheets/d/1-uDff_7J0KD5mKrp0Vvzr7lt3OU09vwQwhkpOPPYv2Y/edit?usp=sharing"",""งบพรบ!IV87"")"),17560)</f>
        <v>17560</v>
      </c>
      <c r="O418" s="47">
        <f t="shared" ca="1" si="274"/>
        <v>100</v>
      </c>
      <c r="P418" s="47">
        <f t="shared" ca="1" si="275"/>
        <v>100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IFERROR(__xludf.DUMMYFUNCTION("IMPORTRANGE(""https://docs.google.com/spreadsheets/d/1ItG2mGa2ceCfYo0BwxsXqNm01IGEUdYcSSLTEv9YCik/edit?usp=sharing"",""เบิกจ่ายกองทุน!CA87"")"),14924.1)</f>
        <v>14924.1</v>
      </c>
      <c r="S418" s="47">
        <f ca="1">IFERROR(__xludf.DUMMYFUNCTION("IMPORTRANGE(""https://docs.google.com/spreadsheets/d/1ItG2mGa2ceCfYo0BwxsXqNm01IGEUdYcSSLTEv9YCik/edit?usp=sharing"",""เบิกจ่ายกองทุน!CB87"")"),14924.1)</f>
        <v>14924.1</v>
      </c>
      <c r="T418" s="47">
        <f t="shared" ca="1" si="277"/>
        <v>98.508910891089116</v>
      </c>
      <c r="U418" s="47">
        <f t="shared" ca="1" si="278"/>
        <v>100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5">I440</f>
        <v>0</v>
      </c>
      <c r="J423" s="749">
        <f t="shared" si="285"/>
        <v>0</v>
      </c>
      <c r="K423" s="489">
        <f t="shared" ref="K423:K425" ca="1" si="286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IFERROR(__xludf.DUMMYFUNCTION("IMPORTRANGE(""https://docs.google.com/spreadsheets/d/1eHaY18a8A9IcSdp1K8H6x8fbOy06t2VsZHhMHf-1x7Y/edit?usp=sharing"",""แผน!HJ87"")"),0)</f>
        <v>0</v>
      </c>
      <c r="J424" s="751">
        <f t="shared" ref="J424:J425" si="287">J426+J428+J430</f>
        <v>0</v>
      </c>
      <c r="K424" s="133">
        <f t="shared" ca="1" si="286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IFERROR(__xludf.DUMMYFUNCTION("IMPORTRANGE(""https://docs.google.com/spreadsheets/d/1eHaY18a8A9IcSdp1K8H6x8fbOy06t2VsZHhMHf-1x7Y/edit?usp=sharing"",""แผน!HK87"")"),0)</f>
        <v>0</v>
      </c>
      <c r="J425" s="751">
        <f t="shared" si="287"/>
        <v>0</v>
      </c>
      <c r="K425" s="133">
        <f t="shared" ca="1" si="286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IFERROR(__xludf.DUMMYFUNCTION("IMPORTRANGE(""https://docs.google.com/spreadsheets/d/1eHaY18a8A9IcSdp1K8H6x8fbOy06t2VsZHhMHf-1x7Y/edit?usp=sharing"",""แผน!HJ87"")"),0)</f>
        <v>0</v>
      </c>
      <c r="J432" s="751">
        <f t="shared" ref="J432:J433" si="288">J434+J436+J438</f>
        <v>0</v>
      </c>
      <c r="K432" s="133">
        <f t="shared" ref="K432:K433" ca="1" si="289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IFERROR(__xludf.DUMMYFUNCTION("IMPORTRANGE(""https://docs.google.com/spreadsheets/d/1eHaY18a8A9IcSdp1K8H6x8fbOy06t2VsZHhMHf-1x7Y/edit?usp=sharing"",""แผน!HK87"")"),0)</f>
        <v>0</v>
      </c>
      <c r="J433" s="751">
        <f t="shared" si="288"/>
        <v>0</v>
      </c>
      <c r="K433" s="133">
        <f t="shared" ca="1" si="289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IFERROR(__xludf.DUMMYFUNCTION("IMPORTRANGE(""https://docs.google.com/spreadsheets/d/1eHaY18a8A9IcSdp1K8H6x8fbOy06t2VsZHhMHf-1x7Y/edit?usp=sharing"",""แผน!HJ87"")"),0)</f>
        <v>0</v>
      </c>
      <c r="J440" s="751">
        <f t="shared" ref="J440:J441" si="290">J442+J444+J446+J452+J454</f>
        <v>0</v>
      </c>
      <c r="K440" s="133">
        <f t="shared" ref="K440:K441" ca="1" si="291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IFERROR(__xludf.DUMMYFUNCTION("IMPORTRANGE(""https://docs.google.com/spreadsheets/d/1eHaY18a8A9IcSdp1K8H6x8fbOy06t2VsZHhMHf-1x7Y/edit?usp=sharing"",""แผน!HK87"")"),0)</f>
        <v>0</v>
      </c>
      <c r="J441" s="751">
        <f t="shared" si="290"/>
        <v>0</v>
      </c>
      <c r="K441" s="133">
        <f t="shared" ca="1" si="291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2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2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3">I457</f>
        <v>16.52</v>
      </c>
      <c r="J456" s="754">
        <f t="shared" si="293"/>
        <v>16.52</v>
      </c>
      <c r="K456" s="489">
        <f t="shared" ref="K456:K458" ca="1" si="294">IF(I456&gt;0,J456*100/I456,0)</f>
        <v>100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IFERROR(__xludf.DUMMYFUNCTION("IMPORTRANGE(""https://docs.google.com/spreadsheets/d/1eHaY18a8A9IcSdp1K8H6x8fbOy06t2VsZHhMHf-1x7Y/edit?usp=sharing"",""แผน!HL87"")"),16.52)</f>
        <v>16.52</v>
      </c>
      <c r="J457" s="751">
        <f t="shared" ref="J457:J458" si="295">J459+J467+J473</f>
        <v>16.52</v>
      </c>
      <c r="K457" s="133">
        <f t="shared" ca="1" si="294"/>
        <v>100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IFERROR(__xludf.DUMMYFUNCTION("IMPORTRANGE(""https://docs.google.com/spreadsheets/d/1eHaY18a8A9IcSdp1K8H6x8fbOy06t2VsZHhMHf-1x7Y/edit?usp=sharing"",""แผน!HM87"")"),6)</f>
        <v>6</v>
      </c>
      <c r="J458" s="751">
        <f t="shared" si="295"/>
        <v>6</v>
      </c>
      <c r="K458" s="133">
        <f t="shared" ca="1" si="294"/>
        <v>100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6">J461+J463</f>
        <v>14.89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6"/>
        <v>5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930">
        <v>11.67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4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931">
        <v>3.22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1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7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7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930">
        <v>1.63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1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8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9">J478+J480</f>
        <v>0</v>
      </c>
      <c r="K476" s="764">
        <f t="shared" si="298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9"/>
        <v>0</v>
      </c>
      <c r="K477" s="764">
        <f t="shared" si="298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300">J480</f>
        <v>0</v>
      </c>
      <c r="J484" s="763">
        <f t="shared" ref="J484:J485" si="301">J486+J488+J490</f>
        <v>0</v>
      </c>
      <c r="K484" s="764">
        <f t="shared" ref="K484:K485" si="302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300"/>
        <v>0</v>
      </c>
      <c r="J485" s="763">
        <f t="shared" si="301"/>
        <v>0</v>
      </c>
      <c r="K485" s="764">
        <f t="shared" si="302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3">I503</f>
        <v>0</v>
      </c>
      <c r="J492" s="321">
        <f t="shared" ca="1" si="303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4">L494+L495</f>
        <v>0</v>
      </c>
      <c r="M493" s="133">
        <f t="shared" ca="1" si="304"/>
        <v>0</v>
      </c>
      <c r="N493" s="133">
        <f t="shared" ca="1" si="304"/>
        <v>0</v>
      </c>
      <c r="O493" s="133">
        <f t="shared" ref="O493:O501" ca="1" si="305">IF(L493&gt;0,N493*100/L493,0)</f>
        <v>0</v>
      </c>
      <c r="P493" s="133">
        <f t="shared" ref="P493:P501" ca="1" si="306">IF(M493&gt;0,N493*100/M493,0)</f>
        <v>0</v>
      </c>
      <c r="Q493" s="133">
        <f t="shared" ref="Q493:S493" ca="1" si="307">Q494+Q495</f>
        <v>0</v>
      </c>
      <c r="R493" s="133">
        <f t="shared" ca="1" si="307"/>
        <v>0</v>
      </c>
      <c r="S493" s="133">
        <f t="shared" ca="1" si="307"/>
        <v>0</v>
      </c>
      <c r="T493" s="133">
        <f t="shared" ref="T493:T501" ca="1" si="308">IF(Q493&gt;0,S493*100/Q493,0)</f>
        <v>0</v>
      </c>
      <c r="U493" s="133">
        <f t="shared" ref="U493:U501" ca="1" si="309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10">L497+L500</f>
        <v>0</v>
      </c>
      <c r="M494" s="49">
        <f t="shared" si="310"/>
        <v>0</v>
      </c>
      <c r="N494" s="49">
        <f t="shared" si="310"/>
        <v>0</v>
      </c>
      <c r="O494" s="49">
        <f t="shared" si="305"/>
        <v>0</v>
      </c>
      <c r="P494" s="49">
        <f t="shared" si="306"/>
        <v>0</v>
      </c>
      <c r="Q494" s="49">
        <f t="shared" ref="Q494:S495" si="311">Q497+Q500</f>
        <v>0</v>
      </c>
      <c r="R494" s="49">
        <f t="shared" si="311"/>
        <v>0</v>
      </c>
      <c r="S494" s="49">
        <f t="shared" si="311"/>
        <v>0</v>
      </c>
      <c r="T494" s="49">
        <f t="shared" si="308"/>
        <v>0</v>
      </c>
      <c r="U494" s="49">
        <f t="shared" si="309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10"/>
        <v>0</v>
      </c>
      <c r="M495" s="47">
        <f t="shared" ca="1" si="310"/>
        <v>0</v>
      </c>
      <c r="N495" s="47">
        <f t="shared" ca="1" si="310"/>
        <v>0</v>
      </c>
      <c r="O495" s="47">
        <f t="shared" ca="1" si="305"/>
        <v>0</v>
      </c>
      <c r="P495" s="47">
        <f t="shared" ca="1" si="306"/>
        <v>0</v>
      </c>
      <c r="Q495" s="47">
        <f t="shared" ca="1" si="311"/>
        <v>0</v>
      </c>
      <c r="R495" s="47">
        <f t="shared" ca="1" si="311"/>
        <v>0</v>
      </c>
      <c r="S495" s="47">
        <f t="shared" ca="1" si="311"/>
        <v>0</v>
      </c>
      <c r="T495" s="47">
        <f t="shared" ca="1" si="308"/>
        <v>0</v>
      </c>
      <c r="U495" s="47">
        <f t="shared" ca="1" si="309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2">L497+L498</f>
        <v>0</v>
      </c>
      <c r="M496" s="47">
        <f t="shared" ca="1" si="312"/>
        <v>0</v>
      </c>
      <c r="N496" s="47">
        <f t="shared" ca="1" si="312"/>
        <v>0</v>
      </c>
      <c r="O496" s="47">
        <f t="shared" ca="1" si="305"/>
        <v>0</v>
      </c>
      <c r="P496" s="47">
        <f t="shared" ca="1" si="306"/>
        <v>0</v>
      </c>
      <c r="Q496" s="47">
        <f t="shared" ref="Q496:S496" ca="1" si="313">Q497+Q498</f>
        <v>0</v>
      </c>
      <c r="R496" s="47">
        <f t="shared" ca="1" si="313"/>
        <v>0</v>
      </c>
      <c r="S496" s="47">
        <f t="shared" ca="1" si="313"/>
        <v>0</v>
      </c>
      <c r="T496" s="47">
        <f t="shared" ca="1" si="308"/>
        <v>0</v>
      </c>
      <c r="U496" s="47">
        <f t="shared" ca="1" si="309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5"/>
        <v>0</v>
      </c>
      <c r="P497" s="49">
        <f t="shared" si="306"/>
        <v>0</v>
      </c>
      <c r="Q497" s="49">
        <v>0</v>
      </c>
      <c r="R497" s="49">
        <v>0</v>
      </c>
      <c r="S497" s="49">
        <v>0</v>
      </c>
      <c r="T497" s="49">
        <f t="shared" si="308"/>
        <v>0</v>
      </c>
      <c r="U497" s="49">
        <f t="shared" si="309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t="shared" ca="1" si="305"/>
        <v>0</v>
      </c>
      <c r="P498" s="47">
        <f t="shared" ca="1" si="306"/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t="shared" ca="1" si="308"/>
        <v>0</v>
      </c>
      <c r="U498" s="47">
        <f t="shared" ca="1" si="309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4">L500+L501</f>
        <v>0</v>
      </c>
      <c r="M499" s="47">
        <f t="shared" ca="1" si="314"/>
        <v>0</v>
      </c>
      <c r="N499" s="47">
        <f t="shared" ca="1" si="314"/>
        <v>0</v>
      </c>
      <c r="O499" s="47">
        <f t="shared" ca="1" si="305"/>
        <v>0</v>
      </c>
      <c r="P499" s="47">
        <f t="shared" ca="1" si="306"/>
        <v>0</v>
      </c>
      <c r="Q499" s="47">
        <f t="shared" ref="Q499:S499" si="315">Q500+Q501</f>
        <v>0</v>
      </c>
      <c r="R499" s="47">
        <f t="shared" si="315"/>
        <v>0</v>
      </c>
      <c r="S499" s="47">
        <f t="shared" si="315"/>
        <v>0</v>
      </c>
      <c r="T499" s="47">
        <f t="shared" si="308"/>
        <v>0</v>
      </c>
      <c r="U499" s="47">
        <f t="shared" si="309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5"/>
        <v>0</v>
      </c>
      <c r="P500" s="49">
        <f t="shared" si="306"/>
        <v>0</v>
      </c>
      <c r="Q500" s="49">
        <v>0</v>
      </c>
      <c r="R500" s="49">
        <v>0</v>
      </c>
      <c r="S500" s="49">
        <v>0</v>
      </c>
      <c r="T500" s="49">
        <f t="shared" si="308"/>
        <v>0</v>
      </c>
      <c r="U500" s="49">
        <f t="shared" si="309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t="shared" ca="1" si="305"/>
        <v>0</v>
      </c>
      <c r="P501" s="47">
        <f t="shared" ca="1" si="306"/>
        <v>0</v>
      </c>
      <c r="Q501" s="47">
        <v>0</v>
      </c>
      <c r="R501" s="47">
        <v>0</v>
      </c>
      <c r="S501" s="47">
        <v>0</v>
      </c>
      <c r="T501" s="47">
        <f t="shared" si="308"/>
        <v>0</v>
      </c>
      <c r="U501" s="47">
        <f t="shared" si="309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IFERROR(__xludf.DUMMYFUNCTION("IMPORTRANGE(""https://docs.google.com/spreadsheets/d/1eHaY18a8A9IcSdp1K8H6x8fbOy06t2VsZHhMHf-1x7Y/edit?usp=sharing"",""แผน!GX87"")"),0)</f>
        <v>0</v>
      </c>
      <c r="J503" s="371">
        <f ca="1">IF(AND(J504=I504,J505=I505,J506=I506,J507=I507),I503,0)</f>
        <v>0</v>
      </c>
      <c r="K503" s="133">
        <f t="shared" ref="K503:K509" ca="1" si="316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IFERROR(__xludf.DUMMYFUNCTION("IMPORTRANGE(""https://docs.google.com/spreadsheets/d/1eHaY18a8A9IcSdp1K8H6x8fbOy06t2VsZHhMHf-1x7Y/edit?usp=sharing"",""แผน!GY87"")"),0)</f>
        <v>0</v>
      </c>
      <c r="J504" s="169">
        <v>0</v>
      </c>
      <c r="K504" s="47">
        <f t="shared" ca="1" si="316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IFERROR(__xludf.DUMMYFUNCTION("IMPORTRANGE(""https://docs.google.com/spreadsheets/d/1eHaY18a8A9IcSdp1K8H6x8fbOy06t2VsZHhMHf-1x7Y/edit?usp=sharing"",""แผน!GZ87"")"),0)</f>
        <v>0</v>
      </c>
      <c r="J505" s="169">
        <v>0</v>
      </c>
      <c r="K505" s="47">
        <f t="shared" ca="1" si="316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IFERROR(__xludf.DUMMYFUNCTION("IMPORTRANGE(""https://docs.google.com/spreadsheets/d/1eHaY18a8A9IcSdp1K8H6x8fbOy06t2VsZHhMHf-1x7Y/edit?usp=sharing"",""แผน!HA87"")"),0)</f>
        <v>0</v>
      </c>
      <c r="J506" s="169">
        <v>0</v>
      </c>
      <c r="K506" s="47">
        <f t="shared" ca="1" si="316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IFERROR(__xludf.DUMMYFUNCTION("IMPORTRANGE(""https://docs.google.com/spreadsheets/d/1eHaY18a8A9IcSdp1K8H6x8fbOy06t2VsZHhMHf-1x7Y/edit?usp=sharing"",""แผน!HB87"")"),0)</f>
        <v>0</v>
      </c>
      <c r="J507" s="169">
        <v>0</v>
      </c>
      <c r="K507" s="47">
        <f t="shared" ca="1" si="316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6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IFERROR(__xludf.DUMMYFUNCTION("IMPORTRANGE(""https://docs.google.com/spreadsheets/d/1eHaY18a8A9IcSdp1K8H6x8fbOy06t2VsZHhMHf-1x7Y/edit?usp=sharing"",""แผน!HC87"")"),0)</f>
        <v>0</v>
      </c>
      <c r="J509" s="378">
        <v>0</v>
      </c>
      <c r="K509" s="111">
        <f t="shared" ca="1" si="316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7">I524</f>
        <v>0</v>
      </c>
      <c r="J512" s="855">
        <f t="shared" si="317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8">L514+L515</f>
        <v>0</v>
      </c>
      <c r="M513" s="133">
        <f t="shared" ca="1" si="318"/>
        <v>0</v>
      </c>
      <c r="N513" s="133">
        <f t="shared" ca="1" si="318"/>
        <v>0</v>
      </c>
      <c r="O513" s="133">
        <f t="shared" ref="O513:O521" ca="1" si="319">IF(L513&gt;0,N513*100/L513,0)</f>
        <v>0</v>
      </c>
      <c r="P513" s="133">
        <f t="shared" ref="P513:P521" ca="1" si="320">IF(M513&gt;0,N513*100/M513,0)</f>
        <v>0</v>
      </c>
      <c r="Q513" s="133">
        <f t="shared" ref="Q513:S513" si="321">Q514+Q515</f>
        <v>0</v>
      </c>
      <c r="R513" s="133">
        <f t="shared" si="321"/>
        <v>0</v>
      </c>
      <c r="S513" s="133">
        <f t="shared" si="321"/>
        <v>0</v>
      </c>
      <c r="T513" s="133">
        <f t="shared" ref="T513:T521" si="322">IF(Q513&gt;0,S513*100/Q513,0)</f>
        <v>0</v>
      </c>
      <c r="U513" s="133">
        <f t="shared" ref="U513:U521" si="323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4">L517+L520</f>
        <v>0</v>
      </c>
      <c r="M514" s="49">
        <f t="shared" si="324"/>
        <v>0</v>
      </c>
      <c r="N514" s="49">
        <f t="shared" si="324"/>
        <v>0</v>
      </c>
      <c r="O514" s="49">
        <f t="shared" si="319"/>
        <v>0</v>
      </c>
      <c r="P514" s="49">
        <f t="shared" si="320"/>
        <v>0</v>
      </c>
      <c r="Q514" s="49">
        <f t="shared" ref="Q514:S515" si="325">Q517+Q520</f>
        <v>0</v>
      </c>
      <c r="R514" s="49">
        <f t="shared" si="325"/>
        <v>0</v>
      </c>
      <c r="S514" s="49">
        <f t="shared" si="325"/>
        <v>0</v>
      </c>
      <c r="T514" s="49">
        <f t="shared" si="322"/>
        <v>0</v>
      </c>
      <c r="U514" s="49">
        <f t="shared" si="323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4"/>
        <v>0</v>
      </c>
      <c r="M515" s="47">
        <f t="shared" ca="1" si="324"/>
        <v>0</v>
      </c>
      <c r="N515" s="47">
        <f t="shared" ca="1" si="324"/>
        <v>0</v>
      </c>
      <c r="O515" s="47">
        <f t="shared" ca="1" si="319"/>
        <v>0</v>
      </c>
      <c r="P515" s="47">
        <f t="shared" ca="1" si="320"/>
        <v>0</v>
      </c>
      <c r="Q515" s="47">
        <f t="shared" si="325"/>
        <v>0</v>
      </c>
      <c r="R515" s="47">
        <f t="shared" si="325"/>
        <v>0</v>
      </c>
      <c r="S515" s="47">
        <f t="shared" si="325"/>
        <v>0</v>
      </c>
      <c r="T515" s="47">
        <f t="shared" si="322"/>
        <v>0</v>
      </c>
      <c r="U515" s="47">
        <f t="shared" si="323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6">L517+L518</f>
        <v>0</v>
      </c>
      <c r="M516" s="47">
        <f t="shared" ca="1" si="326"/>
        <v>0</v>
      </c>
      <c r="N516" s="47">
        <f t="shared" ca="1" si="326"/>
        <v>0</v>
      </c>
      <c r="O516" s="47">
        <f t="shared" ca="1" si="319"/>
        <v>0</v>
      </c>
      <c r="P516" s="47">
        <f t="shared" ca="1" si="320"/>
        <v>0</v>
      </c>
      <c r="Q516" s="47">
        <f t="shared" ref="Q516:S516" si="327">Q517+Q518</f>
        <v>0</v>
      </c>
      <c r="R516" s="47">
        <f t="shared" si="327"/>
        <v>0</v>
      </c>
      <c r="S516" s="47">
        <f t="shared" si="327"/>
        <v>0</v>
      </c>
      <c r="T516" s="47">
        <f t="shared" si="322"/>
        <v>0</v>
      </c>
      <c r="U516" s="47">
        <f t="shared" si="323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9"/>
        <v>0</v>
      </c>
      <c r="P517" s="49">
        <f t="shared" si="320"/>
        <v>0</v>
      </c>
      <c r="Q517" s="49">
        <v>0</v>
      </c>
      <c r="R517" s="49">
        <v>0</v>
      </c>
      <c r="S517" s="49">
        <v>0</v>
      </c>
      <c r="T517" s="49">
        <f t="shared" si="322"/>
        <v>0</v>
      </c>
      <c r="U517" s="49">
        <f t="shared" si="323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t="shared" ca="1" si="319"/>
        <v>0</v>
      </c>
      <c r="P518" s="47">
        <f t="shared" ca="1" si="320"/>
        <v>0</v>
      </c>
      <c r="Q518" s="47">
        <v>0</v>
      </c>
      <c r="R518" s="47">
        <v>0</v>
      </c>
      <c r="S518" s="47">
        <v>0</v>
      </c>
      <c r="T518" s="47">
        <f t="shared" si="322"/>
        <v>0</v>
      </c>
      <c r="U518" s="47">
        <f t="shared" si="323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8">L520+L521</f>
        <v>0</v>
      </c>
      <c r="M519" s="47">
        <f t="shared" ca="1" si="328"/>
        <v>0</v>
      </c>
      <c r="N519" s="47">
        <f t="shared" ca="1" si="328"/>
        <v>0</v>
      </c>
      <c r="O519" s="47">
        <f t="shared" ca="1" si="319"/>
        <v>0</v>
      </c>
      <c r="P519" s="47">
        <f t="shared" ca="1" si="320"/>
        <v>0</v>
      </c>
      <c r="Q519" s="47">
        <f t="shared" ref="Q519:S519" si="329">Q520+Q521</f>
        <v>0</v>
      </c>
      <c r="R519" s="47">
        <f t="shared" si="329"/>
        <v>0</v>
      </c>
      <c r="S519" s="47">
        <f t="shared" si="329"/>
        <v>0</v>
      </c>
      <c r="T519" s="47">
        <f t="shared" si="322"/>
        <v>0</v>
      </c>
      <c r="U519" s="47">
        <f t="shared" si="323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9"/>
        <v>0</v>
      </c>
      <c r="P520" s="49">
        <f t="shared" si="320"/>
        <v>0</v>
      </c>
      <c r="Q520" s="49">
        <v>0</v>
      </c>
      <c r="R520" s="49">
        <v>0</v>
      </c>
      <c r="S520" s="49">
        <v>0</v>
      </c>
      <c r="T520" s="49">
        <f t="shared" si="322"/>
        <v>0</v>
      </c>
      <c r="U520" s="49">
        <f t="shared" si="323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t="shared" ca="1" si="319"/>
        <v>0</v>
      </c>
      <c r="P521" s="47">
        <f t="shared" ca="1" si="320"/>
        <v>0</v>
      </c>
      <c r="Q521" s="47">
        <v>0</v>
      </c>
      <c r="R521" s="47">
        <v>0</v>
      </c>
      <c r="S521" s="47">
        <v>0</v>
      </c>
      <c r="T521" s="47">
        <f t="shared" si="322"/>
        <v>0</v>
      </c>
      <c r="U521" s="47">
        <f t="shared" si="323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30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30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1">I545</f>
        <v>0</v>
      </c>
      <c r="J533" s="818">
        <f t="shared" si="331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2">L535+L536</f>
        <v>0</v>
      </c>
      <c r="M534" s="133">
        <f t="shared" ca="1" si="332"/>
        <v>0</v>
      </c>
      <c r="N534" s="133">
        <f t="shared" ca="1" si="332"/>
        <v>0</v>
      </c>
      <c r="O534" s="133">
        <f t="shared" ref="O534:O542" ca="1" si="333">IF(L534&gt;0,N534*100/L534,0)</f>
        <v>0</v>
      </c>
      <c r="P534" s="133">
        <f t="shared" ref="P534:P542" ca="1" si="334">IF(M534&gt;0,N534*100/M534,0)</f>
        <v>0</v>
      </c>
      <c r="Q534" s="133">
        <f t="shared" ref="Q534:S534" si="335">Q535+Q536</f>
        <v>0</v>
      </c>
      <c r="R534" s="133">
        <f t="shared" si="335"/>
        <v>0</v>
      </c>
      <c r="S534" s="133">
        <f t="shared" si="335"/>
        <v>0</v>
      </c>
      <c r="T534" s="133">
        <f t="shared" ref="T534:T542" si="336">IF(Q534&gt;0,S534*100/Q534,0)</f>
        <v>0</v>
      </c>
      <c r="U534" s="133">
        <f t="shared" ref="U534:U542" si="337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8">L538+L541</f>
        <v>0</v>
      </c>
      <c r="M535" s="49">
        <f t="shared" si="338"/>
        <v>0</v>
      </c>
      <c r="N535" s="49">
        <f t="shared" si="338"/>
        <v>0</v>
      </c>
      <c r="O535" s="49">
        <f t="shared" si="333"/>
        <v>0</v>
      </c>
      <c r="P535" s="49">
        <f t="shared" si="334"/>
        <v>0</v>
      </c>
      <c r="Q535" s="49">
        <f t="shared" ref="Q535:S536" si="339">Q538+Q541</f>
        <v>0</v>
      </c>
      <c r="R535" s="49">
        <f t="shared" si="339"/>
        <v>0</v>
      </c>
      <c r="S535" s="49">
        <f t="shared" si="339"/>
        <v>0</v>
      </c>
      <c r="T535" s="49">
        <f t="shared" si="336"/>
        <v>0</v>
      </c>
      <c r="U535" s="49">
        <f t="shared" si="337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8"/>
        <v>0</v>
      </c>
      <c r="M536" s="47">
        <f t="shared" ca="1" si="338"/>
        <v>0</v>
      </c>
      <c r="N536" s="47">
        <f t="shared" ca="1" si="338"/>
        <v>0</v>
      </c>
      <c r="O536" s="47">
        <f t="shared" ca="1" si="333"/>
        <v>0</v>
      </c>
      <c r="P536" s="47">
        <f t="shared" ca="1" si="334"/>
        <v>0</v>
      </c>
      <c r="Q536" s="47">
        <f t="shared" si="339"/>
        <v>0</v>
      </c>
      <c r="R536" s="47">
        <f t="shared" si="339"/>
        <v>0</v>
      </c>
      <c r="S536" s="47">
        <f t="shared" si="339"/>
        <v>0</v>
      </c>
      <c r="T536" s="47">
        <f t="shared" si="336"/>
        <v>0</v>
      </c>
      <c r="U536" s="47">
        <f t="shared" si="337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40">L538+L539</f>
        <v>0</v>
      </c>
      <c r="M537" s="47">
        <f t="shared" ca="1" si="340"/>
        <v>0</v>
      </c>
      <c r="N537" s="47">
        <f t="shared" ca="1" si="340"/>
        <v>0</v>
      </c>
      <c r="O537" s="47">
        <f t="shared" ca="1" si="333"/>
        <v>0</v>
      </c>
      <c r="P537" s="47">
        <f t="shared" ca="1" si="334"/>
        <v>0</v>
      </c>
      <c r="Q537" s="47">
        <f t="shared" ref="Q537:S537" si="341">Q538+Q539</f>
        <v>0</v>
      </c>
      <c r="R537" s="47">
        <f t="shared" si="341"/>
        <v>0</v>
      </c>
      <c r="S537" s="47">
        <f t="shared" si="341"/>
        <v>0</v>
      </c>
      <c r="T537" s="47">
        <f t="shared" si="336"/>
        <v>0</v>
      </c>
      <c r="U537" s="47">
        <f t="shared" si="337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3"/>
        <v>0</v>
      </c>
      <c r="P538" s="49">
        <f t="shared" si="334"/>
        <v>0</v>
      </c>
      <c r="Q538" s="49">
        <v>0</v>
      </c>
      <c r="R538" s="49">
        <v>0</v>
      </c>
      <c r="S538" s="49">
        <v>0</v>
      </c>
      <c r="T538" s="49">
        <f t="shared" si="336"/>
        <v>0</v>
      </c>
      <c r="U538" s="49">
        <f t="shared" si="337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t="shared" ca="1" si="333"/>
        <v>0</v>
      </c>
      <c r="P539" s="47">
        <f t="shared" ca="1" si="334"/>
        <v>0</v>
      </c>
      <c r="Q539" s="47">
        <v>0</v>
      </c>
      <c r="R539" s="47">
        <v>0</v>
      </c>
      <c r="S539" s="47">
        <v>0</v>
      </c>
      <c r="T539" s="47">
        <f t="shared" si="336"/>
        <v>0</v>
      </c>
      <c r="U539" s="47">
        <f t="shared" si="337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2">L541+L542</f>
        <v>0</v>
      </c>
      <c r="M540" s="47">
        <f t="shared" ca="1" si="342"/>
        <v>0</v>
      </c>
      <c r="N540" s="47">
        <f t="shared" ca="1" si="342"/>
        <v>0</v>
      </c>
      <c r="O540" s="47">
        <f t="shared" ca="1" si="333"/>
        <v>0</v>
      </c>
      <c r="P540" s="47">
        <f t="shared" ca="1" si="334"/>
        <v>0</v>
      </c>
      <c r="Q540" s="47">
        <f t="shared" ref="Q540:S540" si="343">Q541+Q542</f>
        <v>0</v>
      </c>
      <c r="R540" s="47">
        <f t="shared" si="343"/>
        <v>0</v>
      </c>
      <c r="S540" s="47">
        <f t="shared" si="343"/>
        <v>0</v>
      </c>
      <c r="T540" s="47">
        <f t="shared" si="336"/>
        <v>0</v>
      </c>
      <c r="U540" s="47">
        <f t="shared" si="337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3"/>
        <v>0</v>
      </c>
      <c r="P541" s="49">
        <f t="shared" si="334"/>
        <v>0</v>
      </c>
      <c r="Q541" s="49">
        <v>0</v>
      </c>
      <c r="R541" s="49">
        <v>0</v>
      </c>
      <c r="S541" s="49">
        <v>0</v>
      </c>
      <c r="T541" s="49">
        <f t="shared" si="336"/>
        <v>0</v>
      </c>
      <c r="U541" s="49">
        <f t="shared" si="337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t="shared" ca="1" si="333"/>
        <v>0</v>
      </c>
      <c r="P542" s="47">
        <f t="shared" ca="1" si="334"/>
        <v>0</v>
      </c>
      <c r="Q542" s="47">
        <v>0</v>
      </c>
      <c r="R542" s="47">
        <v>0</v>
      </c>
      <c r="S542" s="47">
        <v>0</v>
      </c>
      <c r="T542" s="47">
        <f t="shared" si="336"/>
        <v>0</v>
      </c>
      <c r="U542" s="47">
        <f t="shared" si="337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4">I566</f>
        <v>0</v>
      </c>
      <c r="J554" s="818">
        <f t="shared" si="344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5">L556+L557</f>
        <v>0</v>
      </c>
      <c r="M555" s="133">
        <f t="shared" ca="1" si="345"/>
        <v>0</v>
      </c>
      <c r="N555" s="133">
        <f t="shared" ca="1" si="345"/>
        <v>0</v>
      </c>
      <c r="O555" s="133">
        <f t="shared" ref="O555:O563" ca="1" si="346">IF(L555&gt;0,N555*100/L555,0)</f>
        <v>0</v>
      </c>
      <c r="P555" s="133">
        <f t="shared" ref="P555:P563" ca="1" si="347">IF(M555&gt;0,N555*100/M555,0)</f>
        <v>0</v>
      </c>
      <c r="Q555" s="133">
        <f t="shared" ref="Q555:S555" si="348">Q556+Q557</f>
        <v>0</v>
      </c>
      <c r="R555" s="133">
        <f t="shared" si="348"/>
        <v>0</v>
      </c>
      <c r="S555" s="133">
        <f t="shared" si="348"/>
        <v>0</v>
      </c>
      <c r="T555" s="133">
        <f t="shared" ref="T555:T563" si="349">IF(Q555&gt;0,S555*100/Q555,0)</f>
        <v>0</v>
      </c>
      <c r="U555" s="133">
        <f t="shared" ref="U555:U563" si="350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1">L559+L562</f>
        <v>0</v>
      </c>
      <c r="M556" s="49">
        <f t="shared" si="351"/>
        <v>0</v>
      </c>
      <c r="N556" s="49">
        <f t="shared" si="351"/>
        <v>0</v>
      </c>
      <c r="O556" s="49">
        <f t="shared" si="346"/>
        <v>0</v>
      </c>
      <c r="P556" s="49">
        <f t="shared" si="347"/>
        <v>0</v>
      </c>
      <c r="Q556" s="49">
        <f t="shared" ref="Q556:S557" si="352">Q559+Q562</f>
        <v>0</v>
      </c>
      <c r="R556" s="49">
        <f t="shared" si="352"/>
        <v>0</v>
      </c>
      <c r="S556" s="49">
        <f t="shared" si="352"/>
        <v>0</v>
      </c>
      <c r="T556" s="49">
        <f t="shared" si="349"/>
        <v>0</v>
      </c>
      <c r="U556" s="49">
        <f t="shared" si="350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1"/>
        <v>0</v>
      </c>
      <c r="M557" s="47">
        <f t="shared" ca="1" si="351"/>
        <v>0</v>
      </c>
      <c r="N557" s="47">
        <f t="shared" ca="1" si="351"/>
        <v>0</v>
      </c>
      <c r="O557" s="47">
        <f t="shared" ca="1" si="346"/>
        <v>0</v>
      </c>
      <c r="P557" s="47">
        <f t="shared" ca="1" si="347"/>
        <v>0</v>
      </c>
      <c r="Q557" s="47">
        <f t="shared" si="352"/>
        <v>0</v>
      </c>
      <c r="R557" s="47">
        <f t="shared" si="352"/>
        <v>0</v>
      </c>
      <c r="S557" s="47">
        <f t="shared" si="352"/>
        <v>0</v>
      </c>
      <c r="T557" s="47">
        <f t="shared" si="349"/>
        <v>0</v>
      </c>
      <c r="U557" s="47">
        <f t="shared" si="350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3">L559+L560</f>
        <v>0</v>
      </c>
      <c r="M558" s="47">
        <f t="shared" ca="1" si="353"/>
        <v>0</v>
      </c>
      <c r="N558" s="47">
        <f t="shared" ca="1" si="353"/>
        <v>0</v>
      </c>
      <c r="O558" s="47">
        <f t="shared" ca="1" si="346"/>
        <v>0</v>
      </c>
      <c r="P558" s="47">
        <f t="shared" ca="1" si="347"/>
        <v>0</v>
      </c>
      <c r="Q558" s="47">
        <f t="shared" ref="Q558:S558" si="354">Q559+Q560</f>
        <v>0</v>
      </c>
      <c r="R558" s="47">
        <f t="shared" si="354"/>
        <v>0</v>
      </c>
      <c r="S558" s="47">
        <f t="shared" si="354"/>
        <v>0</v>
      </c>
      <c r="T558" s="47">
        <f t="shared" si="349"/>
        <v>0</v>
      </c>
      <c r="U558" s="47">
        <f t="shared" si="350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6"/>
        <v>0</v>
      </c>
      <c r="P559" s="49">
        <f t="shared" si="347"/>
        <v>0</v>
      </c>
      <c r="Q559" s="49">
        <v>0</v>
      </c>
      <c r="R559" s="49">
        <v>0</v>
      </c>
      <c r="S559" s="49">
        <v>0</v>
      </c>
      <c r="T559" s="49">
        <f t="shared" si="349"/>
        <v>0</v>
      </c>
      <c r="U559" s="49">
        <f t="shared" si="350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t="shared" ca="1" si="346"/>
        <v>0</v>
      </c>
      <c r="P560" s="47">
        <f t="shared" ca="1" si="347"/>
        <v>0</v>
      </c>
      <c r="Q560" s="47">
        <v>0</v>
      </c>
      <c r="R560" s="47">
        <v>0</v>
      </c>
      <c r="S560" s="47">
        <v>0</v>
      </c>
      <c r="T560" s="47">
        <f t="shared" si="349"/>
        <v>0</v>
      </c>
      <c r="U560" s="47">
        <f t="shared" si="350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5">L562+L563</f>
        <v>0</v>
      </c>
      <c r="M561" s="47">
        <f t="shared" ca="1" si="355"/>
        <v>0</v>
      </c>
      <c r="N561" s="47">
        <f t="shared" ca="1" si="355"/>
        <v>0</v>
      </c>
      <c r="O561" s="47">
        <f t="shared" ca="1" si="346"/>
        <v>0</v>
      </c>
      <c r="P561" s="47">
        <f t="shared" ca="1" si="347"/>
        <v>0</v>
      </c>
      <c r="Q561" s="47">
        <f t="shared" ref="Q561:S561" si="356">Q562+Q563</f>
        <v>0</v>
      </c>
      <c r="R561" s="47">
        <f t="shared" si="356"/>
        <v>0</v>
      </c>
      <c r="S561" s="47">
        <f t="shared" si="356"/>
        <v>0</v>
      </c>
      <c r="T561" s="47">
        <f t="shared" si="349"/>
        <v>0</v>
      </c>
      <c r="U561" s="47">
        <f t="shared" si="350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6"/>
        <v>0</v>
      </c>
      <c r="P562" s="49">
        <f t="shared" si="347"/>
        <v>0</v>
      </c>
      <c r="Q562" s="49">
        <v>0</v>
      </c>
      <c r="R562" s="49">
        <v>0</v>
      </c>
      <c r="S562" s="49">
        <v>0</v>
      </c>
      <c r="T562" s="49">
        <f t="shared" si="349"/>
        <v>0</v>
      </c>
      <c r="U562" s="49">
        <f t="shared" si="350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t="shared" ca="1" si="346"/>
        <v>0</v>
      </c>
      <c r="P563" s="47">
        <f t="shared" ca="1" si="347"/>
        <v>0</v>
      </c>
      <c r="Q563" s="47">
        <v>0</v>
      </c>
      <c r="R563" s="47">
        <v>0</v>
      </c>
      <c r="S563" s="47">
        <v>0</v>
      </c>
      <c r="T563" s="47">
        <f t="shared" si="349"/>
        <v>0</v>
      </c>
      <c r="U563" s="47">
        <f t="shared" si="350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7">I587</f>
        <v>0</v>
      </c>
      <c r="J575" s="818">
        <f t="shared" si="357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8">L577+L578</f>
        <v>0</v>
      </c>
      <c r="M576" s="133">
        <f t="shared" ca="1" si="358"/>
        <v>0</v>
      </c>
      <c r="N576" s="133">
        <f t="shared" ca="1" si="358"/>
        <v>0</v>
      </c>
      <c r="O576" s="133">
        <f t="shared" ref="O576:O584" ca="1" si="359">IF(L576&gt;0,N576*100/L576,0)</f>
        <v>0</v>
      </c>
      <c r="P576" s="133">
        <f t="shared" ref="P576:P584" ca="1" si="360">IF(M576&gt;0,N576*100/M576,0)</f>
        <v>0</v>
      </c>
      <c r="Q576" s="133">
        <f t="shared" ref="Q576:S576" si="361">Q577+Q578</f>
        <v>0</v>
      </c>
      <c r="R576" s="133">
        <f t="shared" si="361"/>
        <v>0</v>
      </c>
      <c r="S576" s="133">
        <f t="shared" si="361"/>
        <v>0</v>
      </c>
      <c r="T576" s="133">
        <f t="shared" ref="T576:T584" si="362">IF(Q576&gt;0,S576*100/Q576,0)</f>
        <v>0</v>
      </c>
      <c r="U576" s="133">
        <f t="shared" ref="U576:U584" si="363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4">L580+L583</f>
        <v>0</v>
      </c>
      <c r="M577" s="49">
        <f t="shared" si="364"/>
        <v>0</v>
      </c>
      <c r="N577" s="49">
        <f t="shared" si="364"/>
        <v>0</v>
      </c>
      <c r="O577" s="49">
        <f t="shared" si="359"/>
        <v>0</v>
      </c>
      <c r="P577" s="49">
        <f t="shared" si="360"/>
        <v>0</v>
      </c>
      <c r="Q577" s="49">
        <f t="shared" ref="Q577:S578" si="365">Q580+Q583</f>
        <v>0</v>
      </c>
      <c r="R577" s="49">
        <f t="shared" si="365"/>
        <v>0</v>
      </c>
      <c r="S577" s="49">
        <f t="shared" si="365"/>
        <v>0</v>
      </c>
      <c r="T577" s="49">
        <f t="shared" si="362"/>
        <v>0</v>
      </c>
      <c r="U577" s="49">
        <f t="shared" si="363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4"/>
        <v>0</v>
      </c>
      <c r="M578" s="47">
        <f t="shared" ca="1" si="364"/>
        <v>0</v>
      </c>
      <c r="N578" s="47">
        <f t="shared" ca="1" si="364"/>
        <v>0</v>
      </c>
      <c r="O578" s="47">
        <f t="shared" ca="1" si="359"/>
        <v>0</v>
      </c>
      <c r="P578" s="47">
        <f t="shared" ca="1" si="360"/>
        <v>0</v>
      </c>
      <c r="Q578" s="47">
        <f t="shared" si="365"/>
        <v>0</v>
      </c>
      <c r="R578" s="47">
        <f t="shared" si="365"/>
        <v>0</v>
      </c>
      <c r="S578" s="47">
        <f t="shared" si="365"/>
        <v>0</v>
      </c>
      <c r="T578" s="47">
        <f t="shared" si="362"/>
        <v>0</v>
      </c>
      <c r="U578" s="47">
        <f t="shared" si="363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6">L580+L581</f>
        <v>0</v>
      </c>
      <c r="M579" s="47">
        <f t="shared" ca="1" si="366"/>
        <v>0</v>
      </c>
      <c r="N579" s="47">
        <f t="shared" ca="1" si="366"/>
        <v>0</v>
      </c>
      <c r="O579" s="47">
        <f t="shared" ca="1" si="359"/>
        <v>0</v>
      </c>
      <c r="P579" s="47">
        <f t="shared" ca="1" si="360"/>
        <v>0</v>
      </c>
      <c r="Q579" s="47">
        <f t="shared" ref="Q579:S579" si="367">Q580+Q581</f>
        <v>0</v>
      </c>
      <c r="R579" s="47">
        <f t="shared" si="367"/>
        <v>0</v>
      </c>
      <c r="S579" s="47">
        <f t="shared" si="367"/>
        <v>0</v>
      </c>
      <c r="T579" s="47">
        <f t="shared" si="362"/>
        <v>0</v>
      </c>
      <c r="U579" s="47">
        <f t="shared" si="363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9"/>
        <v>0</v>
      </c>
      <c r="P580" s="49">
        <f t="shared" si="360"/>
        <v>0</v>
      </c>
      <c r="Q580" s="49">
        <v>0</v>
      </c>
      <c r="R580" s="49">
        <v>0</v>
      </c>
      <c r="S580" s="49">
        <v>0</v>
      </c>
      <c r="T580" s="49">
        <f t="shared" si="362"/>
        <v>0</v>
      </c>
      <c r="U580" s="49">
        <f t="shared" si="363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t="shared" ca="1" si="359"/>
        <v>0</v>
      </c>
      <c r="P581" s="47">
        <f t="shared" ca="1" si="360"/>
        <v>0</v>
      </c>
      <c r="Q581" s="47">
        <v>0</v>
      </c>
      <c r="R581" s="47">
        <v>0</v>
      </c>
      <c r="S581" s="47">
        <v>0</v>
      </c>
      <c r="T581" s="47">
        <f t="shared" si="362"/>
        <v>0</v>
      </c>
      <c r="U581" s="47">
        <f t="shared" si="363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8">L583+L584</f>
        <v>0</v>
      </c>
      <c r="M582" s="47">
        <f t="shared" ca="1" si="368"/>
        <v>0</v>
      </c>
      <c r="N582" s="47">
        <f t="shared" ca="1" si="368"/>
        <v>0</v>
      </c>
      <c r="O582" s="47">
        <f t="shared" ca="1" si="359"/>
        <v>0</v>
      </c>
      <c r="P582" s="47">
        <f t="shared" ca="1" si="360"/>
        <v>0</v>
      </c>
      <c r="Q582" s="47">
        <f t="shared" ref="Q582:S582" si="369">Q583+Q584</f>
        <v>0</v>
      </c>
      <c r="R582" s="47">
        <f t="shared" si="369"/>
        <v>0</v>
      </c>
      <c r="S582" s="47">
        <f t="shared" si="369"/>
        <v>0</v>
      </c>
      <c r="T582" s="47">
        <f t="shared" si="362"/>
        <v>0</v>
      </c>
      <c r="U582" s="47">
        <f t="shared" si="363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9"/>
        <v>0</v>
      </c>
      <c r="P583" s="49">
        <f t="shared" si="360"/>
        <v>0</v>
      </c>
      <c r="Q583" s="49">
        <v>0</v>
      </c>
      <c r="R583" s="49">
        <v>0</v>
      </c>
      <c r="S583" s="49">
        <v>0</v>
      </c>
      <c r="T583" s="49">
        <f t="shared" si="362"/>
        <v>0</v>
      </c>
      <c r="U583" s="49">
        <f t="shared" si="363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t="shared" ca="1" si="359"/>
        <v>0</v>
      </c>
      <c r="P584" s="47">
        <f t="shared" ca="1" si="360"/>
        <v>0</v>
      </c>
      <c r="Q584" s="47">
        <v>0</v>
      </c>
      <c r="R584" s="47">
        <v>0</v>
      </c>
      <c r="S584" s="47">
        <v>0</v>
      </c>
      <c r="T584" s="47">
        <f t="shared" si="362"/>
        <v>0</v>
      </c>
      <c r="U584" s="47">
        <f t="shared" si="363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hidden="1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hidden="1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hidden="1" x14ac:dyDescent="0.3">
      <c r="A599" s="436"/>
      <c r="B599" s="347"/>
      <c r="C599" s="437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70">L600+L601</f>
        <v>0</v>
      </c>
      <c r="M599" s="441">
        <f t="shared" ca="1" si="370"/>
        <v>0</v>
      </c>
      <c r="N599" s="441">
        <f t="shared" ca="1" si="370"/>
        <v>0</v>
      </c>
      <c r="O599" s="441">
        <f t="shared" ref="O599:O607" ca="1" si="371">IF(L599&gt;0,N599*100/L599,0)</f>
        <v>0</v>
      </c>
      <c r="P599" s="441">
        <f t="shared" ref="P599:P607" ca="1" si="372">IF(M599&gt;0,N599*100/M599,0)</f>
        <v>0</v>
      </c>
      <c r="Q599" s="441">
        <f t="shared" ref="Q599:S599" ca="1" si="373">Q600+Q601</f>
        <v>0</v>
      </c>
      <c r="R599" s="441">
        <f t="shared" ca="1" si="373"/>
        <v>0</v>
      </c>
      <c r="S599" s="441">
        <f t="shared" ca="1" si="373"/>
        <v>0</v>
      </c>
      <c r="T599" s="441">
        <f t="shared" ref="T599:T607" ca="1" si="374">IF(Q599&gt;0,S599*100/Q599,0)</f>
        <v>0</v>
      </c>
      <c r="U599" s="441">
        <f t="shared" ref="U599:U607" ca="1" si="375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6">L603+L606</f>
        <v>0</v>
      </c>
      <c r="M600" s="352">
        <f t="shared" si="376"/>
        <v>0</v>
      </c>
      <c r="N600" s="352">
        <f t="shared" si="376"/>
        <v>0</v>
      </c>
      <c r="O600" s="352">
        <f t="shared" si="371"/>
        <v>0</v>
      </c>
      <c r="P600" s="352">
        <f t="shared" si="372"/>
        <v>0</v>
      </c>
      <c r="Q600" s="352">
        <f t="shared" ref="Q600:S601" si="377">Q603+Q606</f>
        <v>0</v>
      </c>
      <c r="R600" s="352">
        <f t="shared" si="377"/>
        <v>0</v>
      </c>
      <c r="S600" s="352">
        <f t="shared" si="377"/>
        <v>0</v>
      </c>
      <c r="T600" s="352">
        <f t="shared" si="374"/>
        <v>0</v>
      </c>
      <c r="U600" s="352">
        <f t="shared" si="375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6"/>
        <v>0</v>
      </c>
      <c r="M601" s="352">
        <f t="shared" ca="1" si="376"/>
        <v>0</v>
      </c>
      <c r="N601" s="352">
        <f t="shared" ca="1" si="376"/>
        <v>0</v>
      </c>
      <c r="O601" s="352">
        <f t="shared" ca="1" si="371"/>
        <v>0</v>
      </c>
      <c r="P601" s="352">
        <f t="shared" ca="1" si="372"/>
        <v>0</v>
      </c>
      <c r="Q601" s="352">
        <f t="shared" ca="1" si="377"/>
        <v>0</v>
      </c>
      <c r="R601" s="352">
        <f t="shared" ca="1" si="377"/>
        <v>0</v>
      </c>
      <c r="S601" s="352">
        <f t="shared" ca="1" si="377"/>
        <v>0</v>
      </c>
      <c r="T601" s="352">
        <f t="shared" ca="1" si="374"/>
        <v>0</v>
      </c>
      <c r="U601" s="352">
        <f t="shared" ca="1" si="375"/>
        <v>0</v>
      </c>
    </row>
    <row r="602" spans="1:21" ht="19.5" hidden="1" x14ac:dyDescent="0.3">
      <c r="A602" s="436"/>
      <c r="B602" s="347"/>
      <c r="C602" s="347"/>
      <c r="D602" s="438" t="s">
        <v>22</v>
      </c>
      <c r="E602" s="444"/>
      <c r="F602" s="444"/>
      <c r="G602" s="445"/>
      <c r="H602" s="439" t="s">
        <v>14</v>
      </c>
      <c r="I602" s="448"/>
      <c r="J602" s="448"/>
      <c r="K602" s="449"/>
      <c r="L602" s="692">
        <f t="shared" ref="L602:N602" ca="1" si="378">L603+L604</f>
        <v>0</v>
      </c>
      <c r="M602" s="352">
        <f t="shared" ca="1" si="378"/>
        <v>0</v>
      </c>
      <c r="N602" s="352">
        <f t="shared" ca="1" si="378"/>
        <v>0</v>
      </c>
      <c r="O602" s="352">
        <f t="shared" ca="1" si="371"/>
        <v>0</v>
      </c>
      <c r="P602" s="352">
        <f t="shared" ca="1" si="372"/>
        <v>0</v>
      </c>
      <c r="Q602" s="352">
        <f t="shared" ref="Q602:S602" ca="1" si="379">Q603+Q604</f>
        <v>0</v>
      </c>
      <c r="R602" s="352">
        <f t="shared" ca="1" si="379"/>
        <v>0</v>
      </c>
      <c r="S602" s="352">
        <f t="shared" ca="1" si="379"/>
        <v>0</v>
      </c>
      <c r="T602" s="352">
        <f t="shared" ca="1" si="374"/>
        <v>0</v>
      </c>
      <c r="U602" s="352">
        <f t="shared" ca="1" si="375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71"/>
        <v>0</v>
      </c>
      <c r="P603" s="352">
        <f t="shared" si="372"/>
        <v>0</v>
      </c>
      <c r="Q603" s="352">
        <v>0</v>
      </c>
      <c r="R603" s="352">
        <v>0</v>
      </c>
      <c r="S603" s="352">
        <v>0</v>
      </c>
      <c r="T603" s="352">
        <f t="shared" si="374"/>
        <v>0</v>
      </c>
      <c r="U603" s="352">
        <f t="shared" si="375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IFERROR(__xludf.DUMMYFUNCTION("IMPORTRANGE(""https://docs.google.com/spreadsheets/d/1-uDff_7J0KD5mKrp0Vvzr7lt3OU09vwQwhkpOPPYv2Y/edit?usp=sharing"",""งบพรบ!HK87"")"),0)</f>
        <v>0</v>
      </c>
      <c r="M604" s="352">
        <f ca="1">IFERROR(__xludf.DUMMYFUNCTION("IMPORTRANGE(""https://docs.google.com/spreadsheets/d/1-uDff_7J0KD5mKrp0Vvzr7lt3OU09vwQwhkpOPPYv2Y/edit?usp=sharing"",""งบพรบ!HP87"")"),0)</f>
        <v>0</v>
      </c>
      <c r="N604" s="352">
        <f ca="1">IFERROR(__xludf.DUMMYFUNCTION("IMPORTRANGE(""https://docs.google.com/spreadsheets/d/1-uDff_7J0KD5mKrp0Vvzr7lt3OU09vwQwhkpOPPYv2Y/edit?usp=sharing"",""งบพรบ!HR87"")"),0)</f>
        <v>0</v>
      </c>
      <c r="O604" s="352">
        <f t="shared" ca="1" si="371"/>
        <v>0</v>
      </c>
      <c r="P604" s="352">
        <f t="shared" ca="1" si="372"/>
        <v>0</v>
      </c>
      <c r="Q604" s="352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352">
        <f t="shared" ca="1" si="374"/>
        <v>0</v>
      </c>
      <c r="U604" s="352">
        <f t="shared" ca="1" si="375"/>
        <v>0</v>
      </c>
    </row>
    <row r="605" spans="1:21" ht="19.5" hidden="1" x14ac:dyDescent="0.3">
      <c r="A605" s="436"/>
      <c r="B605" s="347"/>
      <c r="C605" s="347"/>
      <c r="D605" s="438" t="s">
        <v>23</v>
      </c>
      <c r="E605" s="347"/>
      <c r="F605" s="444"/>
      <c r="G605" s="445"/>
      <c r="H605" s="450" t="s">
        <v>14</v>
      </c>
      <c r="I605" s="448"/>
      <c r="J605" s="448"/>
      <c r="K605" s="449"/>
      <c r="L605" s="692">
        <f t="shared" ref="L605:N605" ca="1" si="380">L606+L607</f>
        <v>0</v>
      </c>
      <c r="M605" s="352">
        <f t="shared" ca="1" si="380"/>
        <v>0</v>
      </c>
      <c r="N605" s="352">
        <f t="shared" ca="1" si="380"/>
        <v>0</v>
      </c>
      <c r="O605" s="352">
        <f t="shared" ca="1" si="371"/>
        <v>0</v>
      </c>
      <c r="P605" s="352">
        <f t="shared" ca="1" si="372"/>
        <v>0</v>
      </c>
      <c r="Q605" s="352">
        <f t="shared" ref="Q605:S605" ca="1" si="381">Q606+Q607</f>
        <v>0</v>
      </c>
      <c r="R605" s="352">
        <f t="shared" ca="1" si="381"/>
        <v>0</v>
      </c>
      <c r="S605" s="352">
        <f t="shared" ca="1" si="381"/>
        <v>0</v>
      </c>
      <c r="T605" s="352">
        <f t="shared" ca="1" si="374"/>
        <v>0</v>
      </c>
      <c r="U605" s="352">
        <f t="shared" ca="1" si="375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1"/>
        <v>0</v>
      </c>
      <c r="P606" s="49">
        <f t="shared" si="372"/>
        <v>0</v>
      </c>
      <c r="Q606" s="49">
        <v>0</v>
      </c>
      <c r="R606" s="49">
        <v>0</v>
      </c>
      <c r="S606" s="49">
        <v>0</v>
      </c>
      <c r="T606" s="49">
        <f t="shared" si="374"/>
        <v>0</v>
      </c>
      <c r="U606" s="49">
        <f t="shared" si="375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t="shared" ca="1" si="371"/>
        <v>0</v>
      </c>
      <c r="P607" s="47">
        <f t="shared" ca="1" si="372"/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t="shared" ca="1" si="374"/>
        <v>0</v>
      </c>
      <c r="U607" s="47">
        <f t="shared" ca="1" si="375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2">I626</f>
        <v>50</v>
      </c>
      <c r="J615" s="488">
        <f t="shared" si="382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3">L617+L618</f>
        <v>0</v>
      </c>
      <c r="M616" s="133">
        <f t="shared" si="383"/>
        <v>0</v>
      </c>
      <c r="N616" s="133">
        <f t="shared" si="383"/>
        <v>0</v>
      </c>
      <c r="O616" s="133">
        <f t="shared" ref="O616:O624" si="384">IF(L616&gt;0,N616*100/L616,0)</f>
        <v>0</v>
      </c>
      <c r="P616" s="133">
        <f t="shared" ref="P616:P624" si="385">IF(M616&gt;0,N616*100/M616,0)</f>
        <v>0</v>
      </c>
      <c r="Q616" s="133">
        <f t="shared" ref="Q616:S616" ca="1" si="386">Q617+Q618</f>
        <v>7275</v>
      </c>
      <c r="R616" s="133">
        <f t="shared" ca="1" si="386"/>
        <v>7275</v>
      </c>
      <c r="S616" s="133">
        <f t="shared" ca="1" si="386"/>
        <v>7275</v>
      </c>
      <c r="T616" s="133">
        <f t="shared" ref="T616:T624" ca="1" si="387">IF(Q616&gt;0,S616*100/Q616,0)</f>
        <v>100</v>
      </c>
      <c r="U616" s="133">
        <f t="shared" ref="U616:U624" ca="1" si="388">IF(R616&gt;0,S616*100/R616,0)</f>
        <v>100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9">L620+L623</f>
        <v>0</v>
      </c>
      <c r="M617" s="49">
        <f t="shared" si="389"/>
        <v>0</v>
      </c>
      <c r="N617" s="49">
        <f t="shared" si="389"/>
        <v>0</v>
      </c>
      <c r="O617" s="49">
        <f t="shared" si="384"/>
        <v>0</v>
      </c>
      <c r="P617" s="49">
        <f t="shared" si="385"/>
        <v>0</v>
      </c>
      <c r="Q617" s="49">
        <f t="shared" ref="Q617:S618" si="390">Q620+Q623</f>
        <v>0</v>
      </c>
      <c r="R617" s="49">
        <f t="shared" si="390"/>
        <v>0</v>
      </c>
      <c r="S617" s="49">
        <f t="shared" si="390"/>
        <v>0</v>
      </c>
      <c r="T617" s="49">
        <f t="shared" si="387"/>
        <v>0</v>
      </c>
      <c r="U617" s="49">
        <f t="shared" si="388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9"/>
        <v>0</v>
      </c>
      <c r="M618" s="47">
        <f t="shared" si="389"/>
        <v>0</v>
      </c>
      <c r="N618" s="47">
        <f t="shared" si="389"/>
        <v>0</v>
      </c>
      <c r="O618" s="47">
        <f t="shared" si="384"/>
        <v>0</v>
      </c>
      <c r="P618" s="47">
        <f t="shared" si="385"/>
        <v>0</v>
      </c>
      <c r="Q618" s="47">
        <f t="shared" ca="1" si="390"/>
        <v>7275</v>
      </c>
      <c r="R618" s="47">
        <f t="shared" ca="1" si="390"/>
        <v>7275</v>
      </c>
      <c r="S618" s="47">
        <f t="shared" ca="1" si="390"/>
        <v>7275</v>
      </c>
      <c r="T618" s="47">
        <f t="shared" ca="1" si="387"/>
        <v>100</v>
      </c>
      <c r="U618" s="47">
        <f t="shared" ca="1" si="388"/>
        <v>100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1">L620+L621</f>
        <v>0</v>
      </c>
      <c r="M619" s="47">
        <f t="shared" si="391"/>
        <v>0</v>
      </c>
      <c r="N619" s="47">
        <f t="shared" si="391"/>
        <v>0</v>
      </c>
      <c r="O619" s="47">
        <f t="shared" si="384"/>
        <v>0</v>
      </c>
      <c r="P619" s="47">
        <f t="shared" si="385"/>
        <v>0</v>
      </c>
      <c r="Q619" s="47">
        <f t="shared" ref="Q619:S619" ca="1" si="392">Q620+Q621</f>
        <v>7275</v>
      </c>
      <c r="R619" s="47">
        <f t="shared" ca="1" si="392"/>
        <v>7275</v>
      </c>
      <c r="S619" s="47">
        <f t="shared" ca="1" si="392"/>
        <v>7275</v>
      </c>
      <c r="T619" s="47">
        <f t="shared" ca="1" si="387"/>
        <v>100</v>
      </c>
      <c r="U619" s="47">
        <f t="shared" ca="1" si="388"/>
        <v>100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4"/>
        <v>0</v>
      </c>
      <c r="P620" s="49">
        <f t="shared" si="385"/>
        <v>0</v>
      </c>
      <c r="Q620" s="49">
        <v>0</v>
      </c>
      <c r="R620" s="49">
        <v>0</v>
      </c>
      <c r="S620" s="49">
        <v>0</v>
      </c>
      <c r="T620" s="49">
        <f t="shared" si="387"/>
        <v>0</v>
      </c>
      <c r="U620" s="49">
        <f t="shared" si="388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4"/>
        <v>0</v>
      </c>
      <c r="P621" s="47">
        <f t="shared" si="385"/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IFERROR(__xludf.DUMMYFUNCTION("IMPORTRANGE(""https://docs.google.com/spreadsheets/d/1ItG2mGa2ceCfYo0BwxsXqNm01IGEUdYcSSLTEv9YCik/edit?usp=sharing"",""เบิกจ่ายกองทุน!H87"")"),7275)</f>
        <v>7275</v>
      </c>
      <c r="T621" s="47">
        <f t="shared" ca="1" si="387"/>
        <v>100</v>
      </c>
      <c r="U621" s="47">
        <f t="shared" ca="1" si="388"/>
        <v>100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3">L623+L624</f>
        <v>0</v>
      </c>
      <c r="M622" s="47">
        <f t="shared" si="393"/>
        <v>0</v>
      </c>
      <c r="N622" s="47">
        <f t="shared" si="393"/>
        <v>0</v>
      </c>
      <c r="O622" s="47">
        <f t="shared" si="384"/>
        <v>0</v>
      </c>
      <c r="P622" s="47">
        <f t="shared" si="385"/>
        <v>0</v>
      </c>
      <c r="Q622" s="47">
        <f t="shared" ref="Q622:S622" si="394">Q623+Q624</f>
        <v>0</v>
      </c>
      <c r="R622" s="47">
        <f t="shared" si="394"/>
        <v>0</v>
      </c>
      <c r="S622" s="47">
        <f t="shared" si="394"/>
        <v>0</v>
      </c>
      <c r="T622" s="47">
        <f t="shared" si="387"/>
        <v>0</v>
      </c>
      <c r="U622" s="47">
        <f t="shared" si="388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4"/>
        <v>0</v>
      </c>
      <c r="P623" s="49">
        <f t="shared" si="385"/>
        <v>0</v>
      </c>
      <c r="Q623" s="49">
        <v>0</v>
      </c>
      <c r="R623" s="49">
        <v>0</v>
      </c>
      <c r="S623" s="49">
        <v>0</v>
      </c>
      <c r="T623" s="49">
        <f t="shared" si="387"/>
        <v>0</v>
      </c>
      <c r="U623" s="49">
        <f t="shared" si="388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4"/>
        <v>0</v>
      </c>
      <c r="P624" s="47">
        <f t="shared" si="385"/>
        <v>0</v>
      </c>
      <c r="Q624" s="47">
        <v>0</v>
      </c>
      <c r="R624" s="47">
        <v>0</v>
      </c>
      <c r="S624" s="47">
        <v>0</v>
      </c>
      <c r="T624" s="47">
        <f t="shared" si="387"/>
        <v>0</v>
      </c>
      <c r="U624" s="47">
        <f t="shared" si="388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IFERROR(__xludf.DUMMYFUNCTION("IMPORTRANGE(""https://docs.google.com/spreadsheets/d/1eHaY18a8A9IcSdp1K8H6x8fbOy06t2VsZHhMHf-1x7Y/edit?usp=sharing"",""แผน!ID87"")"),50)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IFERROR(__xludf.DUMMYFUNCTION("IMPORTRANGE(""https://docs.google.com/spreadsheets/d/1eHaY18a8A9IcSdp1K8H6x8fbOy06t2VsZHhMHf-1x7Y/edit?usp=sharing"",""แผน!IC87"")"),1)</f>
        <v>1</v>
      </c>
      <c r="J627" s="169">
        <v>7</v>
      </c>
      <c r="K627" s="47">
        <f t="shared" ref="K627:K628" ca="1" si="395">IF(I627&gt;0,(J627*100)/I627,0)</f>
        <v>700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IFERROR(__xludf.DUMMYFUNCTION("IMPORTRANGE(""https://docs.google.com/spreadsheets/d/1eHaY18a8A9IcSdp1K8H6x8fbOy06t2VsZHhMHf-1x7Y/edit?usp=sharing"",""แผน!IC87"")"),1)</f>
        <v>1</v>
      </c>
      <c r="J628" s="169">
        <v>7</v>
      </c>
      <c r="K628" s="47">
        <f t="shared" ca="1" si="395"/>
        <v>700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6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6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6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IFERROR(__xludf.DUMMYFUNCTION("IMPORTRANGE(""https://docs.google.com/spreadsheets/d/1eHaY18a8A9IcSdp1K8H6x8fbOy06t2VsZHhMHf-1x7Y/edit?usp=sharing"",""แผน!IE87"")"),0)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7">L643+L644</f>
        <v>0</v>
      </c>
      <c r="M642" s="133">
        <f t="shared" si="397"/>
        <v>0</v>
      </c>
      <c r="N642" s="133">
        <f t="shared" si="397"/>
        <v>0</v>
      </c>
      <c r="O642" s="133">
        <f t="shared" ref="O642:O650" si="398">IF(L642&gt;0,N642*100/L642,0)</f>
        <v>0</v>
      </c>
      <c r="P642" s="133">
        <f t="shared" ref="P642:P650" si="399">IF(M642&gt;0,N642*100/M642,0)</f>
        <v>0</v>
      </c>
      <c r="Q642" s="133">
        <f t="shared" ref="Q642:S642" ca="1" si="400">Q643+Q644</f>
        <v>0</v>
      </c>
      <c r="R642" s="133">
        <f t="shared" ca="1" si="400"/>
        <v>0</v>
      </c>
      <c r="S642" s="133">
        <f t="shared" ca="1" si="400"/>
        <v>0</v>
      </c>
      <c r="T642" s="133">
        <f t="shared" ref="T642:T650" ca="1" si="401">IF(Q642&gt;0,S642*100/Q642,0)</f>
        <v>0</v>
      </c>
      <c r="U642" s="133">
        <f t="shared" ref="U642:U650" ca="1" si="402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3">L646+L649</f>
        <v>0</v>
      </c>
      <c r="M643" s="49">
        <f t="shared" si="403"/>
        <v>0</v>
      </c>
      <c r="N643" s="49">
        <f t="shared" si="403"/>
        <v>0</v>
      </c>
      <c r="O643" s="49">
        <f t="shared" si="398"/>
        <v>0</v>
      </c>
      <c r="P643" s="49">
        <f t="shared" si="399"/>
        <v>0</v>
      </c>
      <c r="Q643" s="49">
        <f t="shared" ref="Q643:S644" si="404">Q646+Q649</f>
        <v>0</v>
      </c>
      <c r="R643" s="49">
        <f t="shared" si="404"/>
        <v>0</v>
      </c>
      <c r="S643" s="49">
        <f t="shared" si="404"/>
        <v>0</v>
      </c>
      <c r="T643" s="49">
        <f t="shared" si="401"/>
        <v>0</v>
      </c>
      <c r="U643" s="49">
        <f t="shared" si="402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3"/>
        <v>0</v>
      </c>
      <c r="M644" s="47">
        <f t="shared" si="403"/>
        <v>0</v>
      </c>
      <c r="N644" s="47">
        <f t="shared" si="403"/>
        <v>0</v>
      </c>
      <c r="O644" s="47">
        <f t="shared" si="398"/>
        <v>0</v>
      </c>
      <c r="P644" s="47">
        <f t="shared" si="399"/>
        <v>0</v>
      </c>
      <c r="Q644" s="47">
        <f t="shared" ca="1" si="404"/>
        <v>0</v>
      </c>
      <c r="R644" s="47">
        <f t="shared" ca="1" si="404"/>
        <v>0</v>
      </c>
      <c r="S644" s="47">
        <f t="shared" ca="1" si="404"/>
        <v>0</v>
      </c>
      <c r="T644" s="47">
        <f t="shared" ca="1" si="401"/>
        <v>0</v>
      </c>
      <c r="U644" s="47">
        <f t="shared" ca="1" si="402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5">L646+L647</f>
        <v>0</v>
      </c>
      <c r="M645" s="47">
        <f t="shared" si="405"/>
        <v>0</v>
      </c>
      <c r="N645" s="47">
        <f t="shared" si="405"/>
        <v>0</v>
      </c>
      <c r="O645" s="47">
        <f t="shared" si="398"/>
        <v>0</v>
      </c>
      <c r="P645" s="47">
        <f t="shared" si="399"/>
        <v>0</v>
      </c>
      <c r="Q645" s="47">
        <f t="shared" ref="Q645:S645" ca="1" si="406">Q646+Q647</f>
        <v>0</v>
      </c>
      <c r="R645" s="47">
        <f t="shared" ca="1" si="406"/>
        <v>0</v>
      </c>
      <c r="S645" s="47">
        <f t="shared" ca="1" si="406"/>
        <v>0</v>
      </c>
      <c r="T645" s="47">
        <f t="shared" ca="1" si="401"/>
        <v>0</v>
      </c>
      <c r="U645" s="47">
        <f t="shared" ca="1" si="402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8"/>
        <v>0</v>
      </c>
      <c r="P646" s="49">
        <f t="shared" si="399"/>
        <v>0</v>
      </c>
      <c r="Q646" s="49">
        <v>0</v>
      </c>
      <c r="R646" s="49">
        <v>0</v>
      </c>
      <c r="S646" s="49">
        <v>0</v>
      </c>
      <c r="T646" s="49">
        <f t="shared" si="401"/>
        <v>0</v>
      </c>
      <c r="U646" s="49">
        <f t="shared" si="402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8"/>
        <v>0</v>
      </c>
      <c r="P647" s="47">
        <f t="shared" si="399"/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t="shared" ca="1" si="401"/>
        <v>0</v>
      </c>
      <c r="U647" s="47">
        <f t="shared" ca="1" si="402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7">L649+L650</f>
        <v>0</v>
      </c>
      <c r="M648" s="47">
        <f t="shared" si="407"/>
        <v>0</v>
      </c>
      <c r="N648" s="47">
        <f t="shared" si="407"/>
        <v>0</v>
      </c>
      <c r="O648" s="47">
        <f t="shared" si="398"/>
        <v>0</v>
      </c>
      <c r="P648" s="47">
        <f t="shared" si="399"/>
        <v>0</v>
      </c>
      <c r="Q648" s="47">
        <f t="shared" ref="Q648:S648" si="408">Q649+Q650</f>
        <v>0</v>
      </c>
      <c r="R648" s="47">
        <f t="shared" si="408"/>
        <v>0</v>
      </c>
      <c r="S648" s="47">
        <f t="shared" si="408"/>
        <v>0</v>
      </c>
      <c r="T648" s="47">
        <f t="shared" si="401"/>
        <v>0</v>
      </c>
      <c r="U648" s="47">
        <f t="shared" si="402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8"/>
        <v>0</v>
      </c>
      <c r="P649" s="49">
        <f t="shared" si="399"/>
        <v>0</v>
      </c>
      <c r="Q649" s="49">
        <v>0</v>
      </c>
      <c r="R649" s="49">
        <v>0</v>
      </c>
      <c r="S649" s="49">
        <v>0</v>
      </c>
      <c r="T649" s="49">
        <f t="shared" si="401"/>
        <v>0</v>
      </c>
      <c r="U649" s="49">
        <f t="shared" si="402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8"/>
        <v>0</v>
      </c>
      <c r="P650" s="47">
        <f t="shared" si="399"/>
        <v>0</v>
      </c>
      <c r="Q650" s="47">
        <v>0</v>
      </c>
      <c r="R650" s="47">
        <v>0</v>
      </c>
      <c r="S650" s="47">
        <v>0</v>
      </c>
      <c r="T650" s="47">
        <f t="shared" si="401"/>
        <v>0</v>
      </c>
      <c r="U650" s="47">
        <f t="shared" si="402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IFERROR(__xludf.DUMMYFUNCTION("IMPORTRANGE(""https://docs.google.com/spreadsheets/d/1eHaY18a8A9IcSdp1K8H6x8fbOy06t2VsZHhMHf-1x7Y/edit?usp=sharing"",""แผน!IF87"")"),0)</f>
        <v>0</v>
      </c>
      <c r="J652" s="37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t="shared" ref="K652:K654" ca="1" si="409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IFERROR(__xludf.DUMMYFUNCTION("IMPORTRANGE(""https://docs.google.com/spreadsheets/d/1eHaY18a8A9IcSdp1K8H6x8fbOy06t2VsZHhMHf-1x7Y/edit?usp=sharing"",""แผน!IG87"")"),0)</f>
        <v>0</v>
      </c>
      <c r="J653" s="37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t="shared" ca="1" si="409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IFERROR(__xludf.DUMMYFUNCTION("IMPORTRANGE(""https://docs.google.com/spreadsheets/d/1eHaY18a8A9IcSdp1K8H6x8fbOy06t2VsZHhMHf-1x7Y/edit?usp=sharing"",""แผน!IH87"")"),0)</f>
        <v>0</v>
      </c>
      <c r="J654" s="371">
        <f>J657+J660</f>
        <v>0</v>
      </c>
      <c r="K654" s="133">
        <f t="shared" ca="1" si="409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IFERROR(__xludf.DUMMYFUNCTION("IMPORTRANGE(""https://docs.google.com/spreadsheets/d/1eHaY18a8A9IcSdp1K8H6x8fbOy06t2VsZHhMHf-1x7Y/edit?usp=sharing"",""แผน!II87"")"),0)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IFERROR(__xludf.DUMMYFUNCTION("IMPORTRANGE(""https://docs.google.com/spreadsheets/d/1eHaY18a8A9IcSdp1K8H6x8fbOy06t2VsZHhMHf-1x7Y/edit?usp=sharing"",""แผน!IJ87"")"),0)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IFERROR(__xludf.DUMMYFUNCTION("IMPORTRANGE(""https://docs.google.com/spreadsheets/d/1eHaY18a8A9IcSdp1K8H6x8fbOy06t2VsZHhMHf-1x7Y/edit?usp=sharing"",""แผน!IK87"")"),0)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IFERROR(__xludf.DUMMYFUNCTION("IMPORTRANGE(""https://docs.google.com/spreadsheets/d/1eHaY18a8A9IcSdp1K8H6x8fbOy06t2VsZHhMHf-1x7Y/edit?usp=sharing"",""แผน!IL87"")"),0)</f>
        <v>0</v>
      </c>
      <c r="J673" s="37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t="shared" ref="K673:K676" ca="1" si="410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IFERROR(__xludf.DUMMYFUNCTION("IMPORTRANGE(""https://docs.google.com/spreadsheets/d/1eHaY18a8A9IcSdp1K8H6x8fbOy06t2VsZHhMHf-1x7Y/edit?usp=sharing"",""แผน!IM87"")"),0)</f>
        <v>0</v>
      </c>
      <c r="J674" s="371">
        <f ca="1">J676+J679</f>
        <v>0</v>
      </c>
      <c r="K674" s="133">
        <f t="shared" ca="1" si="410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IFERROR(__xludf.DUMMYFUNCTION("IMPORTRANGE(""https://docs.google.com/spreadsheets/d/1eHaY18a8A9IcSdp1K8H6x8fbOy06t2VsZHhMHf-1x7Y/edit?usp=sharing"",""แผน!IN87"")"),0)</f>
        <v>0</v>
      </c>
      <c r="J675" s="371">
        <f ca="1">J678+J681</f>
        <v>0</v>
      </c>
      <c r="K675" s="133">
        <f t="shared" ca="1" si="410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IFERROR(__xludf.DUMMYFUNCTION("IMPORTRANGE(""https://docs.google.com/spreadsheets/d/1eHaY18a8A9IcSdp1K8H6x8fbOy06t2VsZHhMHf-1x7Y/edit?usp=sharing"",""แผน!IO87"")"),0)</f>
        <v>0</v>
      </c>
      <c r="J676" s="37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t="shared" ca="1" si="410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IFERROR(__xludf.DUMMYFUNCTION("IMPORTRANGE(""https://docs.google.com/spreadsheets/d/1eHaY18a8A9IcSdp1K8H6x8fbOy06t2VsZHhMHf-1x7Y/edit?usp=sharing"",""แผน!IP87"")"),0)</f>
        <v>0</v>
      </c>
      <c r="J678" s="37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t="shared" ref="K678:K679" ca="1" si="411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IFERROR(__xludf.DUMMYFUNCTION("IMPORTRANGE(""https://docs.google.com/spreadsheets/d/1eHaY18a8A9IcSdp1K8H6x8fbOy06t2VsZHhMHf-1x7Y/edit?usp=sharing"",""แผน!IQ87"")"),0)</f>
        <v>0</v>
      </c>
      <c r="J679" s="37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t="shared" ca="1" si="411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IFERROR(__xludf.DUMMYFUNCTION("IMPORTRANGE(""https://docs.google.com/spreadsheets/d/1eHaY18a8A9IcSdp1K8H6x8fbOy06t2VsZHhMHf-1x7Y/edit?usp=sharing"",""แผน!IR87"")"),0)</f>
        <v>0</v>
      </c>
      <c r="J681" s="37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t="shared" ref="K681:K682" ca="1" si="412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IFERROR(__xludf.DUMMYFUNCTION("IMPORTRANGE(""https://docs.google.com/spreadsheets/d/1eHaY18a8A9IcSdp1K8H6x8fbOy06t2VsZHhMHf-1x7Y/edit?usp=sharing"",""แผน!IS87"")"),0)</f>
        <v>0</v>
      </c>
      <c r="J682" s="371">
        <f>J685+J688</f>
        <v>0</v>
      </c>
      <c r="K682" s="133">
        <f t="shared" ca="1" si="412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3">I707+I709</f>
        <v>5</v>
      </c>
      <c r="J689" s="844">
        <f t="shared" ca="1" si="413"/>
        <v>5</v>
      </c>
      <c r="K689" s="505">
        <f ca="1">IF(I689&gt;0,J689*100/I689,0)</f>
        <v>100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4">L691+L692</f>
        <v>0</v>
      </c>
      <c r="M690" s="133">
        <f t="shared" si="414"/>
        <v>0</v>
      </c>
      <c r="N690" s="133">
        <f t="shared" si="414"/>
        <v>0</v>
      </c>
      <c r="O690" s="133">
        <f t="shared" ref="O690:O698" si="415">IF(L690&gt;0,N690*100/L690,0)</f>
        <v>0</v>
      </c>
      <c r="P690" s="133">
        <f t="shared" ref="P690:P698" si="416">IF(M690&gt;0,N690*100/M690,0)</f>
        <v>0</v>
      </c>
      <c r="Q690" s="133">
        <f t="shared" ref="Q690:S690" ca="1" si="417">Q691+Q692</f>
        <v>62580</v>
      </c>
      <c r="R690" s="133">
        <f t="shared" ca="1" si="417"/>
        <v>34697.949999999997</v>
      </c>
      <c r="S690" s="133">
        <f t="shared" ca="1" si="417"/>
        <v>34697.949999999997</v>
      </c>
      <c r="T690" s="133">
        <f t="shared" ref="T690:T698" ca="1" si="418">IF(Q690&gt;0,S690*100/Q690,0)</f>
        <v>55.445749440715879</v>
      </c>
      <c r="U690" s="133">
        <f t="shared" ref="U690:U698" ca="1" si="419">IF(R690&gt;0,S690*100/R690,0)</f>
        <v>100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0">L694+L697</f>
        <v>0</v>
      </c>
      <c r="M691" s="49">
        <f t="shared" si="420"/>
        <v>0</v>
      </c>
      <c r="N691" s="49">
        <f t="shared" si="420"/>
        <v>0</v>
      </c>
      <c r="O691" s="49">
        <f t="shared" si="415"/>
        <v>0</v>
      </c>
      <c r="P691" s="49">
        <f t="shared" si="416"/>
        <v>0</v>
      </c>
      <c r="Q691" s="49">
        <f t="shared" ref="Q691:S692" si="421">Q694+Q697</f>
        <v>0</v>
      </c>
      <c r="R691" s="49">
        <f t="shared" si="421"/>
        <v>0</v>
      </c>
      <c r="S691" s="49">
        <f t="shared" si="421"/>
        <v>0</v>
      </c>
      <c r="T691" s="49">
        <f t="shared" si="418"/>
        <v>0</v>
      </c>
      <c r="U691" s="49">
        <f t="shared" si="419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0"/>
        <v>0</v>
      </c>
      <c r="M692" s="47">
        <f t="shared" si="420"/>
        <v>0</v>
      </c>
      <c r="N692" s="47">
        <f t="shared" si="420"/>
        <v>0</v>
      </c>
      <c r="O692" s="47">
        <f t="shared" si="415"/>
        <v>0</v>
      </c>
      <c r="P692" s="47">
        <f t="shared" si="416"/>
        <v>0</v>
      </c>
      <c r="Q692" s="47">
        <f t="shared" ca="1" si="421"/>
        <v>62580</v>
      </c>
      <c r="R692" s="47">
        <f t="shared" ca="1" si="421"/>
        <v>34697.949999999997</v>
      </c>
      <c r="S692" s="47">
        <f t="shared" ca="1" si="421"/>
        <v>34697.949999999997</v>
      </c>
      <c r="T692" s="47">
        <f t="shared" ca="1" si="418"/>
        <v>55.445749440715879</v>
      </c>
      <c r="U692" s="47">
        <f t="shared" ca="1" si="419"/>
        <v>100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2">L694+L695</f>
        <v>0</v>
      </c>
      <c r="M693" s="47">
        <f t="shared" si="422"/>
        <v>0</v>
      </c>
      <c r="N693" s="47">
        <f t="shared" si="422"/>
        <v>0</v>
      </c>
      <c r="O693" s="47">
        <f t="shared" si="415"/>
        <v>0</v>
      </c>
      <c r="P693" s="47">
        <f t="shared" si="416"/>
        <v>0</v>
      </c>
      <c r="Q693" s="47">
        <f t="shared" ref="Q693:S693" ca="1" si="423">Q694+Q695</f>
        <v>62580</v>
      </c>
      <c r="R693" s="47">
        <f t="shared" ca="1" si="423"/>
        <v>34697.949999999997</v>
      </c>
      <c r="S693" s="47">
        <f t="shared" ca="1" si="423"/>
        <v>34697.949999999997</v>
      </c>
      <c r="T693" s="47">
        <f t="shared" ca="1" si="418"/>
        <v>55.445749440715879</v>
      </c>
      <c r="U693" s="47">
        <f t="shared" ca="1" si="419"/>
        <v>100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5"/>
        <v>0</v>
      </c>
      <c r="P694" s="49">
        <f t="shared" si="416"/>
        <v>0</v>
      </c>
      <c r="Q694" s="49">
        <v>0</v>
      </c>
      <c r="R694" s="49">
        <v>0</v>
      </c>
      <c r="S694" s="49">
        <v>0</v>
      </c>
      <c r="T694" s="49">
        <f t="shared" si="418"/>
        <v>0</v>
      </c>
      <c r="U694" s="49">
        <f t="shared" si="419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5"/>
        <v>0</v>
      </c>
      <c r="P695" s="47">
        <f t="shared" si="416"/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IFERROR(__xludf.DUMMYFUNCTION("IMPORTRANGE(""https://docs.google.com/spreadsheets/d/1ItG2mGa2ceCfYo0BwxsXqNm01IGEUdYcSSLTEv9YCik/edit?usp=sharing"",""เบิกจ่ายกองทุน!M87"")"),34697.95)</f>
        <v>34697.949999999997</v>
      </c>
      <c r="S695" s="47">
        <f ca="1">IFERROR(__xludf.DUMMYFUNCTION("IMPORTRANGE(""https://docs.google.com/spreadsheets/d/1ItG2mGa2ceCfYo0BwxsXqNm01IGEUdYcSSLTEv9YCik/edit?usp=sharing"",""เบิกจ่ายกองทุน!N87"")"),34697.95)</f>
        <v>34697.949999999997</v>
      </c>
      <c r="T695" s="47">
        <f t="shared" ca="1" si="418"/>
        <v>55.445749440715879</v>
      </c>
      <c r="U695" s="47">
        <f t="shared" ca="1" si="419"/>
        <v>100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4">L697+L698</f>
        <v>0</v>
      </c>
      <c r="M696" s="47">
        <f t="shared" si="424"/>
        <v>0</v>
      </c>
      <c r="N696" s="47">
        <f t="shared" si="424"/>
        <v>0</v>
      </c>
      <c r="O696" s="47">
        <f t="shared" si="415"/>
        <v>0</v>
      </c>
      <c r="P696" s="47">
        <f t="shared" si="416"/>
        <v>0</v>
      </c>
      <c r="Q696" s="47">
        <f t="shared" ref="Q696:S696" si="425">Q697+Q698</f>
        <v>0</v>
      </c>
      <c r="R696" s="47">
        <f t="shared" si="425"/>
        <v>0</v>
      </c>
      <c r="S696" s="47">
        <f t="shared" si="425"/>
        <v>0</v>
      </c>
      <c r="T696" s="47">
        <f t="shared" si="418"/>
        <v>0</v>
      </c>
      <c r="U696" s="47">
        <f t="shared" si="419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5"/>
        <v>0</v>
      </c>
      <c r="P697" s="49">
        <f t="shared" si="416"/>
        <v>0</v>
      </c>
      <c r="Q697" s="49">
        <v>0</v>
      </c>
      <c r="R697" s="49">
        <v>0</v>
      </c>
      <c r="S697" s="49">
        <v>0</v>
      </c>
      <c r="T697" s="49">
        <f t="shared" si="418"/>
        <v>0</v>
      </c>
      <c r="U697" s="49">
        <f t="shared" si="419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5"/>
        <v>0</v>
      </c>
      <c r="P698" s="47">
        <f t="shared" si="416"/>
        <v>0</v>
      </c>
      <c r="Q698" s="47">
        <v>0</v>
      </c>
      <c r="R698" s="47">
        <v>0</v>
      </c>
      <c r="S698" s="47">
        <v>0</v>
      </c>
      <c r="T698" s="47">
        <f t="shared" si="418"/>
        <v>0</v>
      </c>
      <c r="U698" s="47">
        <f t="shared" si="419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IFERROR(__xludf.DUMMYFUNCTION("IMPORTRANGE(""https://docs.google.com/spreadsheets/d/1eHaY18a8A9IcSdp1K8H6x8fbOy06t2VsZHhMHf-1x7Y/edit?usp=sharing"",""แผน!LC87"")"),0)</f>
        <v>0</v>
      </c>
      <c r="J700" s="169">
        <v>0</v>
      </c>
      <c r="K700" s="154">
        <f t="shared" ref="K700:K710" ca="1" si="426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7">I703+I705</f>
        <v>5</v>
      </c>
      <c r="J701" s="371">
        <f t="shared" ca="1" si="427"/>
        <v>5</v>
      </c>
      <c r="K701" s="133">
        <f t="shared" ca="1" si="426"/>
        <v>100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6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IFERROR(__xludf.DUMMYFUNCTION("IMPORTRANGE(""https://docs.google.com/spreadsheets/d/1eHaY18a8A9IcSdp1K8H6x8fbOy06t2VsZHhMHf-1x7Y/edit?usp=sharing"",""แผน!LJ87"")"),0)</f>
        <v>0</v>
      </c>
      <c r="J703" s="37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t="shared" ca="1" si="426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 t="shared" si="426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IFERROR(__xludf.DUMMYFUNCTION("IMPORTRANGE(""https://docs.google.com/spreadsheets/d/1eHaY18a8A9IcSdp1K8H6x8fbOy06t2VsZHhMHf-1x7Y/edit?usp=sharing"",""แผน!LK87"")"),5)</f>
        <v>5</v>
      </c>
      <c r="J705" s="372">
        <f ca="1">IFERROR(__xludf.DUMMYFUNCTION("IMPORTRANGE(""https://docs.google.com/spreadsheets/d/1tdoBKaGub7dwA3U6UFTqxio9LNnvDCQjHKmttSEBsFQ/edit?usp=sharing"",""จัดที่ดิน!AR87"")"),5)</f>
        <v>5</v>
      </c>
      <c r="K705" s="154">
        <f t="shared" ca="1" si="426"/>
        <v>100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 t="shared" si="426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IFERROR(__xludf.DUMMYFUNCTION("IMPORTRANGE(""https://docs.google.com/spreadsheets/d/1eHaY18a8A9IcSdp1K8H6x8fbOy06t2VsZHhMHf-1x7Y/edit?usp=sharing"",""แผน!LJ87"")"),0)</f>
        <v>0</v>
      </c>
      <c r="J707" s="37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t="shared" ca="1" si="426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 t="shared" si="426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IFERROR(__xludf.DUMMYFUNCTION("IMPORTRANGE(""https://docs.google.com/spreadsheets/d/1eHaY18a8A9IcSdp1K8H6x8fbOy06t2VsZHhMHf-1x7Y/edit?usp=sharing"",""แผน!LK87"")"),5)</f>
        <v>5</v>
      </c>
      <c r="J709" s="372">
        <f ca="1">IFERROR(__xludf.DUMMYFUNCTION("IMPORTRANGE(""https://docs.google.com/spreadsheets/d/1tdoBKaGub7dwA3U6UFTqxio9LNnvDCQjHKmttSEBsFQ/edit?usp=sharing"",""จัดที่ดิน!BP87"")"),5)</f>
        <v>5</v>
      </c>
      <c r="K709" s="47">
        <f t="shared" ca="1" si="426"/>
        <v>100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 t="shared" si="426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8">L715+L716</f>
        <v>0</v>
      </c>
      <c r="M714" s="133">
        <f t="shared" si="428"/>
        <v>0</v>
      </c>
      <c r="N714" s="133">
        <f t="shared" si="428"/>
        <v>0</v>
      </c>
      <c r="O714" s="133">
        <f t="shared" ref="O714:O722" si="429">IF(L714&gt;0,N714*100/L714,0)</f>
        <v>0</v>
      </c>
      <c r="P714" s="133">
        <f t="shared" ref="P714:P722" si="430">IF(M714&gt;0,N714*100/M714,0)</f>
        <v>0</v>
      </c>
      <c r="Q714" s="133">
        <f t="shared" ref="Q714:S714" si="431">Q715+Q716</f>
        <v>0</v>
      </c>
      <c r="R714" s="133">
        <f t="shared" si="431"/>
        <v>0</v>
      </c>
      <c r="S714" s="133">
        <f t="shared" si="431"/>
        <v>0</v>
      </c>
      <c r="T714" s="133">
        <f t="shared" ref="T714:T722" si="432">IF(Q714&gt;0,S714*100/Q714,0)</f>
        <v>0</v>
      </c>
      <c r="U714" s="133">
        <f t="shared" ref="U714:U722" si="433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4">L718+L721</f>
        <v>0</v>
      </c>
      <c r="M715" s="49">
        <f t="shared" si="434"/>
        <v>0</v>
      </c>
      <c r="N715" s="49">
        <f t="shared" si="434"/>
        <v>0</v>
      </c>
      <c r="O715" s="49">
        <f t="shared" si="429"/>
        <v>0</v>
      </c>
      <c r="P715" s="49">
        <f t="shared" si="430"/>
        <v>0</v>
      </c>
      <c r="Q715" s="49">
        <f t="shared" ref="Q715:S716" si="435">Q718+Q721</f>
        <v>0</v>
      </c>
      <c r="R715" s="49">
        <f t="shared" si="435"/>
        <v>0</v>
      </c>
      <c r="S715" s="49">
        <f t="shared" si="435"/>
        <v>0</v>
      </c>
      <c r="T715" s="49">
        <f t="shared" si="432"/>
        <v>0</v>
      </c>
      <c r="U715" s="49">
        <f t="shared" si="433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4"/>
        <v>0</v>
      </c>
      <c r="M716" s="47">
        <f t="shared" si="434"/>
        <v>0</v>
      </c>
      <c r="N716" s="47">
        <f t="shared" si="434"/>
        <v>0</v>
      </c>
      <c r="O716" s="47">
        <f t="shared" si="429"/>
        <v>0</v>
      </c>
      <c r="P716" s="47">
        <f t="shared" si="430"/>
        <v>0</v>
      </c>
      <c r="Q716" s="47">
        <f t="shared" si="435"/>
        <v>0</v>
      </c>
      <c r="R716" s="47">
        <f t="shared" si="435"/>
        <v>0</v>
      </c>
      <c r="S716" s="47">
        <f t="shared" si="435"/>
        <v>0</v>
      </c>
      <c r="T716" s="47">
        <f t="shared" si="432"/>
        <v>0</v>
      </c>
      <c r="U716" s="47">
        <f t="shared" si="433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6">L718+L719</f>
        <v>0</v>
      </c>
      <c r="M717" s="47">
        <f t="shared" si="436"/>
        <v>0</v>
      </c>
      <c r="N717" s="47">
        <f t="shared" si="436"/>
        <v>0</v>
      </c>
      <c r="O717" s="47">
        <f t="shared" si="429"/>
        <v>0</v>
      </c>
      <c r="P717" s="47">
        <f t="shared" si="430"/>
        <v>0</v>
      </c>
      <c r="Q717" s="47">
        <f t="shared" ref="Q717:S717" si="437">Q718+Q719</f>
        <v>0</v>
      </c>
      <c r="R717" s="47">
        <f t="shared" si="437"/>
        <v>0</v>
      </c>
      <c r="S717" s="47">
        <f t="shared" si="437"/>
        <v>0</v>
      </c>
      <c r="T717" s="47">
        <f t="shared" si="432"/>
        <v>0</v>
      </c>
      <c r="U717" s="47">
        <f t="shared" si="433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9"/>
        <v>0</v>
      </c>
      <c r="P718" s="49">
        <f t="shared" si="430"/>
        <v>0</v>
      </c>
      <c r="Q718" s="49">
        <v>0</v>
      </c>
      <c r="R718" s="49">
        <v>0</v>
      </c>
      <c r="S718" s="49">
        <v>0</v>
      </c>
      <c r="T718" s="49">
        <f t="shared" si="432"/>
        <v>0</v>
      </c>
      <c r="U718" s="49">
        <f t="shared" si="433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9"/>
        <v>0</v>
      </c>
      <c r="P719" s="47">
        <f t="shared" si="430"/>
        <v>0</v>
      </c>
      <c r="Q719" s="47">
        <v>0</v>
      </c>
      <c r="R719" s="47">
        <v>0</v>
      </c>
      <c r="S719" s="47">
        <v>0</v>
      </c>
      <c r="T719" s="47">
        <f t="shared" si="432"/>
        <v>0</v>
      </c>
      <c r="U719" s="47">
        <f t="shared" si="433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8">L721+L722</f>
        <v>0</v>
      </c>
      <c r="M720" s="47">
        <f t="shared" si="438"/>
        <v>0</v>
      </c>
      <c r="N720" s="47">
        <f t="shared" si="438"/>
        <v>0</v>
      </c>
      <c r="O720" s="47">
        <f t="shared" si="429"/>
        <v>0</v>
      </c>
      <c r="P720" s="47">
        <f t="shared" si="430"/>
        <v>0</v>
      </c>
      <c r="Q720" s="47">
        <f t="shared" ref="Q720:S720" si="439">Q721+Q722</f>
        <v>0</v>
      </c>
      <c r="R720" s="47">
        <f t="shared" si="439"/>
        <v>0</v>
      </c>
      <c r="S720" s="47">
        <f t="shared" si="439"/>
        <v>0</v>
      </c>
      <c r="T720" s="47">
        <f t="shared" si="432"/>
        <v>0</v>
      </c>
      <c r="U720" s="47">
        <f t="shared" si="433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9"/>
        <v>0</v>
      </c>
      <c r="P721" s="49">
        <f t="shared" si="430"/>
        <v>0</v>
      </c>
      <c r="Q721" s="49">
        <v>0</v>
      </c>
      <c r="R721" s="49">
        <v>0</v>
      </c>
      <c r="S721" s="49">
        <v>0</v>
      </c>
      <c r="T721" s="49">
        <f t="shared" si="432"/>
        <v>0</v>
      </c>
      <c r="U721" s="49">
        <f t="shared" si="433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9"/>
        <v>0</v>
      </c>
      <c r="P722" s="47">
        <f t="shared" si="430"/>
        <v>0</v>
      </c>
      <c r="Q722" s="47">
        <v>0</v>
      </c>
      <c r="R722" s="47">
        <v>0</v>
      </c>
      <c r="S722" s="47">
        <v>0</v>
      </c>
      <c r="T722" s="47">
        <f t="shared" si="432"/>
        <v>0</v>
      </c>
      <c r="U722" s="47">
        <f t="shared" si="433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IFERROR(__xludf.DUMMYFUNCTION("IMPORTRANGE(""https://docs.google.com/spreadsheets/d/1eHaY18a8A9IcSdp1K8H6x8fbOy06t2VsZHhMHf-1x7Y/edit?usp=sharing"",""แผน!GA87"")"),6)</f>
        <v>6</v>
      </c>
      <c r="J726" s="504">
        <f>J742+J746+J749</f>
        <v>16</v>
      </c>
      <c r="K726" s="505">
        <f t="shared" ref="K726:K727" ca="1" si="440">IF(I726&gt;0,J726*100/I726,0)</f>
        <v>266.66666666666669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IFERROR(__xludf.DUMMYFUNCTION("IMPORTRANGE(""https://docs.google.com/spreadsheets/d/1eHaY18a8A9IcSdp1K8H6x8fbOy06t2VsZHhMHf-1x7Y/edit?usp=sharing"",""แผน!FZ87"")"),50)</f>
        <v>50</v>
      </c>
      <c r="J727" s="504">
        <f>J752+J755</f>
        <v>50</v>
      </c>
      <c r="K727" s="505">
        <f t="shared" ca="1" si="440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1">L729+L730</f>
        <v>0</v>
      </c>
      <c r="M728" s="133">
        <f t="shared" si="441"/>
        <v>0</v>
      </c>
      <c r="N728" s="133">
        <f t="shared" si="441"/>
        <v>0</v>
      </c>
      <c r="O728" s="133">
        <f t="shared" ref="O728:O736" si="442">IF(L728&gt;0,N728*100/L728,0)</f>
        <v>0</v>
      </c>
      <c r="P728" s="133">
        <f t="shared" ref="P728:P736" si="443">IF(M728&gt;0,N728*100/M728,0)</f>
        <v>0</v>
      </c>
      <c r="Q728" s="133">
        <f t="shared" ref="Q728:S728" ca="1" si="444">Q729+Q730</f>
        <v>79606</v>
      </c>
      <c r="R728" s="133">
        <f t="shared" ca="1" si="444"/>
        <v>79606</v>
      </c>
      <c r="S728" s="133">
        <f t="shared" ca="1" si="444"/>
        <v>77356.600000000006</v>
      </c>
      <c r="T728" s="133">
        <f t="shared" ref="T728:T736" ca="1" si="445">IF(Q728&gt;0,S728*100/Q728,0)</f>
        <v>97.174333592945274</v>
      </c>
      <c r="U728" s="133">
        <f t="shared" ref="U728:U736" ca="1" si="446">IF(R728&gt;0,S728*100/R728,0)</f>
        <v>97.174333592945274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7">L732+L735</f>
        <v>0</v>
      </c>
      <c r="M729" s="49">
        <f t="shared" si="447"/>
        <v>0</v>
      </c>
      <c r="N729" s="49">
        <f t="shared" si="447"/>
        <v>0</v>
      </c>
      <c r="O729" s="49">
        <f t="shared" si="442"/>
        <v>0</v>
      </c>
      <c r="P729" s="49">
        <f t="shared" si="443"/>
        <v>0</v>
      </c>
      <c r="Q729" s="49">
        <f t="shared" ref="Q729:S730" si="448">Q732+Q735</f>
        <v>0</v>
      </c>
      <c r="R729" s="49">
        <f t="shared" si="448"/>
        <v>0</v>
      </c>
      <c r="S729" s="49">
        <f t="shared" si="448"/>
        <v>0</v>
      </c>
      <c r="T729" s="49">
        <f t="shared" si="445"/>
        <v>0</v>
      </c>
      <c r="U729" s="49">
        <f t="shared" si="446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7"/>
        <v>0</v>
      </c>
      <c r="M730" s="47">
        <f t="shared" si="447"/>
        <v>0</v>
      </c>
      <c r="N730" s="47">
        <f t="shared" si="447"/>
        <v>0</v>
      </c>
      <c r="O730" s="47">
        <f t="shared" si="442"/>
        <v>0</v>
      </c>
      <c r="P730" s="47">
        <f t="shared" si="443"/>
        <v>0</v>
      </c>
      <c r="Q730" s="47">
        <f t="shared" ca="1" si="448"/>
        <v>79606</v>
      </c>
      <c r="R730" s="47">
        <f t="shared" ca="1" si="448"/>
        <v>79606</v>
      </c>
      <c r="S730" s="47">
        <f t="shared" ca="1" si="448"/>
        <v>77356.600000000006</v>
      </c>
      <c r="T730" s="47">
        <f t="shared" ca="1" si="445"/>
        <v>97.174333592945274</v>
      </c>
      <c r="U730" s="47">
        <f t="shared" ca="1" si="446"/>
        <v>97.174333592945274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9">L732+L733</f>
        <v>0</v>
      </c>
      <c r="M731" s="47">
        <f t="shared" si="449"/>
        <v>0</v>
      </c>
      <c r="N731" s="47">
        <f t="shared" si="449"/>
        <v>0</v>
      </c>
      <c r="O731" s="47">
        <f t="shared" si="442"/>
        <v>0</v>
      </c>
      <c r="P731" s="47">
        <f t="shared" si="443"/>
        <v>0</v>
      </c>
      <c r="Q731" s="47">
        <f t="shared" ref="Q731:S731" ca="1" si="450">Q732+Q733</f>
        <v>79606</v>
      </c>
      <c r="R731" s="47">
        <f t="shared" ca="1" si="450"/>
        <v>79606</v>
      </c>
      <c r="S731" s="47">
        <f t="shared" ca="1" si="450"/>
        <v>77356.600000000006</v>
      </c>
      <c r="T731" s="47">
        <f t="shared" ca="1" si="445"/>
        <v>97.174333592945274</v>
      </c>
      <c r="U731" s="47">
        <f t="shared" ca="1" si="446"/>
        <v>97.174333592945274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2"/>
        <v>0</v>
      </c>
      <c r="P732" s="49">
        <f t="shared" si="443"/>
        <v>0</v>
      </c>
      <c r="Q732" s="49">
        <v>0</v>
      </c>
      <c r="R732" s="49">
        <v>0</v>
      </c>
      <c r="S732" s="49">
        <v>0</v>
      </c>
      <c r="T732" s="49">
        <f t="shared" si="445"/>
        <v>0</v>
      </c>
      <c r="U732" s="49">
        <f t="shared" si="446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2"/>
        <v>0</v>
      </c>
      <c r="P733" s="47">
        <f t="shared" si="443"/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IFERROR(__xludf.DUMMYFUNCTION("IMPORTRANGE(""https://docs.google.com/spreadsheets/d/1ItG2mGa2ceCfYo0BwxsXqNm01IGEUdYcSSLTEv9YCik/edit?usp=sharing"",""เบิกจ่ายกองทุน!Q87"")"),77356.6)</f>
        <v>77356.600000000006</v>
      </c>
      <c r="T733" s="47">
        <f t="shared" ca="1" si="445"/>
        <v>97.174333592945274</v>
      </c>
      <c r="U733" s="47">
        <f t="shared" ca="1" si="446"/>
        <v>97.174333592945274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1">L735+L736</f>
        <v>0</v>
      </c>
      <c r="M734" s="47">
        <f t="shared" si="451"/>
        <v>0</v>
      </c>
      <c r="N734" s="47">
        <f t="shared" si="451"/>
        <v>0</v>
      </c>
      <c r="O734" s="47">
        <f t="shared" si="442"/>
        <v>0</v>
      </c>
      <c r="P734" s="47">
        <f t="shared" si="443"/>
        <v>0</v>
      </c>
      <c r="Q734" s="47">
        <f t="shared" ref="Q734:S734" si="452">Q735+Q736</f>
        <v>0</v>
      </c>
      <c r="R734" s="47">
        <f t="shared" si="452"/>
        <v>0</v>
      </c>
      <c r="S734" s="47">
        <f t="shared" si="452"/>
        <v>0</v>
      </c>
      <c r="T734" s="47">
        <f t="shared" si="445"/>
        <v>0</v>
      </c>
      <c r="U734" s="47">
        <f t="shared" si="446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2"/>
        <v>0</v>
      </c>
      <c r="P735" s="49">
        <f t="shared" si="443"/>
        <v>0</v>
      </c>
      <c r="Q735" s="49">
        <v>0</v>
      </c>
      <c r="R735" s="49">
        <v>0</v>
      </c>
      <c r="S735" s="49">
        <v>0</v>
      </c>
      <c r="T735" s="49">
        <f t="shared" si="445"/>
        <v>0</v>
      </c>
      <c r="U735" s="49">
        <f t="shared" si="446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2"/>
        <v>0</v>
      </c>
      <c r="P736" s="47">
        <f t="shared" si="443"/>
        <v>0</v>
      </c>
      <c r="Q736" s="47">
        <v>0</v>
      </c>
      <c r="R736" s="47">
        <v>0</v>
      </c>
      <c r="S736" s="47">
        <v>0</v>
      </c>
      <c r="T736" s="47">
        <f t="shared" si="445"/>
        <v>0</v>
      </c>
      <c r="U736" s="47">
        <f t="shared" si="446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9"/>
      <c r="B740" s="140"/>
      <c r="C740" s="140"/>
      <c r="D740" s="140"/>
      <c r="E740" s="140"/>
      <c r="F740" s="492" t="s">
        <v>278</v>
      </c>
      <c r="G740" s="144"/>
      <c r="H740" s="134" t="s">
        <v>46</v>
      </c>
      <c r="I740" s="372">
        <f ca="1">IFERROR(__xludf.DUMMYFUNCTION("IMPORTRANGE(""https://docs.google.com/spreadsheets/d/1eHaY18a8A9IcSdp1K8H6x8fbOy06t2VsZHhMHf-1x7Y/edit?usp=sharing"",""แผน!GB87"")"),40)</f>
        <v>40</v>
      </c>
      <c r="J740" s="169">
        <v>40</v>
      </c>
      <c r="K740" s="47">
        <f ca="1">IF(I740&gt;0,J740*100/I740,0)</f>
        <v>100</v>
      </c>
      <c r="L740" s="591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9"/>
      <c r="B741" s="140"/>
      <c r="C741" s="140"/>
      <c r="D741" s="140"/>
      <c r="E741" s="140"/>
      <c r="F741" s="492" t="s">
        <v>279</v>
      </c>
      <c r="G741" s="144"/>
      <c r="H741" s="134" t="s">
        <v>35</v>
      </c>
      <c r="I741" s="45"/>
      <c r="J741" s="169">
        <v>0</v>
      </c>
      <c r="K741" s="46"/>
      <c r="L741" s="591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9"/>
      <c r="B742" s="140"/>
      <c r="C742" s="140"/>
      <c r="D742" s="140"/>
      <c r="E742" s="140"/>
      <c r="F742" s="492" t="s">
        <v>280</v>
      </c>
      <c r="G742" s="144"/>
      <c r="H742" s="134" t="s">
        <v>35</v>
      </c>
      <c r="I742" s="372">
        <f ca="1">IFERROR(__xludf.DUMMYFUNCTION("IMPORTRANGE(""https://docs.google.com/spreadsheets/d/1eHaY18a8A9IcSdp1K8H6x8fbOy06t2VsZHhMHf-1x7Y/edit?usp=sharing"",""แผน!GC87"")"),4)</f>
        <v>4</v>
      </c>
      <c r="J742" s="169">
        <v>5</v>
      </c>
      <c r="K742" s="47">
        <f ca="1">IF(I742&gt;0,J742*100/I742,0)</f>
        <v>125</v>
      </c>
      <c r="L742" s="591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9"/>
      <c r="B743" s="140"/>
      <c r="C743" s="140"/>
      <c r="D743" s="140"/>
      <c r="E743" s="492" t="s">
        <v>281</v>
      </c>
      <c r="F743" s="140"/>
      <c r="G743" s="144"/>
      <c r="H743" s="194"/>
      <c r="I743" s="45"/>
      <c r="J743" s="45"/>
      <c r="K743" s="46"/>
      <c r="L743" s="591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9"/>
      <c r="B744" s="140"/>
      <c r="C744" s="140"/>
      <c r="D744" s="140"/>
      <c r="E744" s="140"/>
      <c r="F744" s="492" t="s">
        <v>278</v>
      </c>
      <c r="G744" s="144"/>
      <c r="H744" s="134" t="s">
        <v>46</v>
      </c>
      <c r="I744" s="372">
        <f ca="1">IFERROR(__xludf.DUMMYFUNCTION("IMPORTRANGE(""https://docs.google.com/spreadsheets/d/1eHaY18a8A9IcSdp1K8H6x8fbOy06t2VsZHhMHf-1x7Y/edit?usp=sharing"",""แผน!GD87"")"),10)</f>
        <v>10</v>
      </c>
      <c r="J744" s="169">
        <v>10</v>
      </c>
      <c r="K744" s="47">
        <f ca="1">IF(I744&gt;0,J744*100/I744,0)</f>
        <v>100</v>
      </c>
      <c r="L744" s="591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9"/>
      <c r="B745" s="140"/>
      <c r="C745" s="140"/>
      <c r="D745" s="140"/>
      <c r="E745" s="140"/>
      <c r="F745" s="492" t="s">
        <v>282</v>
      </c>
      <c r="G745" s="144"/>
      <c r="H745" s="134" t="s">
        <v>35</v>
      </c>
      <c r="I745" s="45"/>
      <c r="J745" s="169">
        <v>0</v>
      </c>
      <c r="K745" s="46"/>
      <c r="L745" s="591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9"/>
      <c r="B746" s="140"/>
      <c r="C746" s="140"/>
      <c r="D746" s="140"/>
      <c r="E746" s="140"/>
      <c r="F746" s="492" t="s">
        <v>283</v>
      </c>
      <c r="G746" s="144"/>
      <c r="H746" s="134" t="s">
        <v>35</v>
      </c>
      <c r="I746" s="372">
        <f ca="1">IFERROR(__xludf.DUMMYFUNCTION("IMPORTRANGE(""https://docs.google.com/spreadsheets/d/1eHaY18a8A9IcSdp1K8H6x8fbOy06t2VsZHhMHf-1x7Y/edit?usp=sharing"",""แผน!GE87"")"),1)</f>
        <v>1</v>
      </c>
      <c r="J746" s="169">
        <v>2</v>
      </c>
      <c r="K746" s="47">
        <f ca="1">IF(I746&gt;0,J746*100/I746,0)</f>
        <v>200</v>
      </c>
      <c r="L746" s="591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9"/>
      <c r="B747" s="140"/>
      <c r="C747" s="140"/>
      <c r="D747" s="140"/>
      <c r="E747" s="492" t="s">
        <v>284</v>
      </c>
      <c r="F747" s="170"/>
      <c r="G747" s="144"/>
      <c r="H747" s="194"/>
      <c r="I747" s="45"/>
      <c r="J747" s="45"/>
      <c r="K747" s="46"/>
      <c r="L747" s="591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9"/>
      <c r="B748" s="140"/>
      <c r="C748" s="140"/>
      <c r="D748" s="140"/>
      <c r="E748" s="140"/>
      <c r="F748" s="492" t="s">
        <v>285</v>
      </c>
      <c r="G748" s="144"/>
      <c r="H748" s="134" t="s">
        <v>35</v>
      </c>
      <c r="I748" s="45"/>
      <c r="J748" s="169">
        <v>0</v>
      </c>
      <c r="K748" s="46"/>
      <c r="L748" s="591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9"/>
      <c r="B749" s="140"/>
      <c r="C749" s="140"/>
      <c r="D749" s="140"/>
      <c r="E749" s="140"/>
      <c r="F749" s="492" t="s">
        <v>286</v>
      </c>
      <c r="G749" s="144"/>
      <c r="H749" s="134" t="s">
        <v>35</v>
      </c>
      <c r="I749" s="372">
        <f ca="1">IFERROR(__xludf.DUMMYFUNCTION("IMPORTRANGE(""https://docs.google.com/spreadsheets/d/1eHaY18a8A9IcSdp1K8H6x8fbOy06t2VsZHhMHf-1x7Y/edit?usp=sharing"",""แผน!GF87"")"),1)</f>
        <v>1</v>
      </c>
      <c r="J749" s="169">
        <v>9</v>
      </c>
      <c r="K749" s="47">
        <f ca="1">IF(I749&gt;0,J749*100/I749,0)</f>
        <v>900</v>
      </c>
      <c r="L749" s="591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9"/>
      <c r="B750" s="140"/>
      <c r="C750" s="140"/>
      <c r="D750" s="522" t="s">
        <v>50</v>
      </c>
      <c r="E750" s="140"/>
      <c r="F750" s="170"/>
      <c r="G750" s="144"/>
      <c r="H750" s="194"/>
      <c r="I750" s="45"/>
      <c r="J750" s="45"/>
      <c r="K750" s="46"/>
      <c r="L750" s="591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9"/>
      <c r="B751" s="140"/>
      <c r="C751" s="140"/>
      <c r="D751" s="140"/>
      <c r="E751" s="492" t="s">
        <v>277</v>
      </c>
      <c r="F751" s="170"/>
      <c r="G751" s="144"/>
      <c r="H751" s="194"/>
      <c r="I751" s="45"/>
      <c r="J751" s="45"/>
      <c r="K751" s="46"/>
      <c r="L751" s="591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9"/>
      <c r="B752" s="140"/>
      <c r="C752" s="140"/>
      <c r="D752" s="140"/>
      <c r="E752" s="140"/>
      <c r="F752" s="303" t="s">
        <v>287</v>
      </c>
      <c r="G752" s="144"/>
      <c r="H752" s="134" t="s">
        <v>46</v>
      </c>
      <c r="I752" s="372">
        <f ca="1">IFERROR(__xludf.DUMMYFUNCTION("IMPORTRANGE(""https://docs.google.com/spreadsheets/d/1eHaY18a8A9IcSdp1K8H6x8fbOy06t2VsZHhMHf-1x7Y/edit?usp=sharing"",""แผน!GB87"")"),40)</f>
        <v>40</v>
      </c>
      <c r="J752" s="169">
        <v>40</v>
      </c>
      <c r="K752" s="47">
        <f ca="1">IF(I752&gt;0,J752*100/I752,0)</f>
        <v>100</v>
      </c>
      <c r="L752" s="591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9"/>
      <c r="B753" s="140"/>
      <c r="C753" s="140"/>
      <c r="D753" s="140"/>
      <c r="E753" s="140"/>
      <c r="F753" s="303" t="s">
        <v>288</v>
      </c>
      <c r="G753" s="144"/>
      <c r="H753" s="134" t="s">
        <v>46</v>
      </c>
      <c r="I753" s="45"/>
      <c r="J753" s="169">
        <v>0</v>
      </c>
      <c r="K753" s="46"/>
      <c r="L753" s="591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9"/>
      <c r="B754" s="140"/>
      <c r="C754" s="140"/>
      <c r="D754" s="140"/>
      <c r="E754" s="492" t="s">
        <v>281</v>
      </c>
      <c r="F754" s="170"/>
      <c r="G754" s="144"/>
      <c r="H754" s="194"/>
      <c r="I754" s="45"/>
      <c r="J754" s="45"/>
      <c r="K754" s="46"/>
      <c r="L754" s="591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9"/>
      <c r="B755" s="140"/>
      <c r="C755" s="140"/>
      <c r="D755" s="140"/>
      <c r="E755" s="170"/>
      <c r="F755" s="303" t="s">
        <v>289</v>
      </c>
      <c r="G755" s="144"/>
      <c r="H755" s="134" t="s">
        <v>46</v>
      </c>
      <c r="I755" s="372">
        <f ca="1">IFERROR(__xludf.DUMMYFUNCTION("IMPORTRANGE(""https://docs.google.com/spreadsheets/d/1eHaY18a8A9IcSdp1K8H6x8fbOy06t2VsZHhMHf-1x7Y/edit?usp=sharing"",""แผน!GD87"")"),10)</f>
        <v>10</v>
      </c>
      <c r="J755" s="169">
        <v>10</v>
      </c>
      <c r="K755" s="47">
        <f ca="1">IF(I755&gt;0,J755*100/I755,0)</f>
        <v>100</v>
      </c>
      <c r="L755" s="591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9"/>
      <c r="B756" s="140"/>
      <c r="C756" s="140"/>
      <c r="D756" s="140"/>
      <c r="E756" s="170"/>
      <c r="F756" s="303" t="s">
        <v>290</v>
      </c>
      <c r="G756" s="144"/>
      <c r="H756" s="134" t="s">
        <v>46</v>
      </c>
      <c r="I756" s="45"/>
      <c r="J756" s="169">
        <v>0</v>
      </c>
      <c r="K756" s="46"/>
      <c r="L756" s="591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hidden="1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3">I772</f>
        <v>0</v>
      </c>
      <c r="J758" s="504">
        <f t="shared" si="453"/>
        <v>0</v>
      </c>
      <c r="K758" s="505">
        <f t="shared" ref="K758:K759" ca="1" si="454">IF(I758&gt;0,J758*100/I758,0)</f>
        <v>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hidden="1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5">I774</f>
        <v>0</v>
      </c>
      <c r="J759" s="504">
        <f t="shared" si="455"/>
        <v>0</v>
      </c>
      <c r="K759" s="505">
        <f t="shared" ca="1" si="454"/>
        <v>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hidden="1" x14ac:dyDescent="0.3">
      <c r="A760" s="129"/>
      <c r="B760" s="160"/>
      <c r="C760" s="191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6">L761+L762</f>
        <v>0</v>
      </c>
      <c r="M760" s="133">
        <f t="shared" si="456"/>
        <v>0</v>
      </c>
      <c r="N760" s="133">
        <f t="shared" si="456"/>
        <v>0</v>
      </c>
      <c r="O760" s="133">
        <f t="shared" ref="O760:O768" si="457">IF(L760&gt;0,N760*100/L760,0)</f>
        <v>0</v>
      </c>
      <c r="P760" s="133">
        <f t="shared" ref="P760:P768" si="458">IF(M760&gt;0,N760*100/M760,0)</f>
        <v>0</v>
      </c>
      <c r="Q760" s="133">
        <f t="shared" ref="Q760:S760" ca="1" si="459">Q761+Q762</f>
        <v>0</v>
      </c>
      <c r="R760" s="133">
        <f t="shared" ca="1" si="459"/>
        <v>0</v>
      </c>
      <c r="S760" s="133">
        <f t="shared" ca="1" si="459"/>
        <v>0</v>
      </c>
      <c r="T760" s="133">
        <f t="shared" ref="T760:T768" ca="1" si="460">IF(Q760&gt;0,S760*100/Q760,0)</f>
        <v>0</v>
      </c>
      <c r="U760" s="133">
        <f t="shared" ref="U760:U768" ca="1" si="461">IF(R760&gt;0,S760*100/R760,0)</f>
        <v>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2">L764+L767</f>
        <v>0</v>
      </c>
      <c r="M761" s="49">
        <f t="shared" si="462"/>
        <v>0</v>
      </c>
      <c r="N761" s="49">
        <f t="shared" si="462"/>
        <v>0</v>
      </c>
      <c r="O761" s="49">
        <f t="shared" si="457"/>
        <v>0</v>
      </c>
      <c r="P761" s="49">
        <f t="shared" si="458"/>
        <v>0</v>
      </c>
      <c r="Q761" s="49">
        <f t="shared" ref="Q761:S762" si="463">Q764+Q767</f>
        <v>0</v>
      </c>
      <c r="R761" s="49">
        <f t="shared" si="463"/>
        <v>0</v>
      </c>
      <c r="S761" s="49">
        <f t="shared" si="463"/>
        <v>0</v>
      </c>
      <c r="T761" s="49">
        <f t="shared" si="460"/>
        <v>0</v>
      </c>
      <c r="U761" s="49">
        <f t="shared" si="461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2"/>
        <v>0</v>
      </c>
      <c r="M762" s="47">
        <f t="shared" si="462"/>
        <v>0</v>
      </c>
      <c r="N762" s="47">
        <f t="shared" si="462"/>
        <v>0</v>
      </c>
      <c r="O762" s="47">
        <f t="shared" si="457"/>
        <v>0</v>
      </c>
      <c r="P762" s="47">
        <f t="shared" si="458"/>
        <v>0</v>
      </c>
      <c r="Q762" s="47">
        <f t="shared" ca="1" si="463"/>
        <v>0</v>
      </c>
      <c r="R762" s="47">
        <f t="shared" ca="1" si="463"/>
        <v>0</v>
      </c>
      <c r="S762" s="47">
        <f t="shared" ca="1" si="463"/>
        <v>0</v>
      </c>
      <c r="T762" s="47">
        <f t="shared" ca="1" si="460"/>
        <v>0</v>
      </c>
      <c r="U762" s="47">
        <f t="shared" ca="1" si="461"/>
        <v>0</v>
      </c>
    </row>
    <row r="763" spans="1:21" ht="18.75" hidden="1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4">L764+L765</f>
        <v>0</v>
      </c>
      <c r="M763" s="47">
        <f t="shared" si="464"/>
        <v>0</v>
      </c>
      <c r="N763" s="47">
        <f t="shared" si="464"/>
        <v>0</v>
      </c>
      <c r="O763" s="47">
        <f t="shared" si="457"/>
        <v>0</v>
      </c>
      <c r="P763" s="47">
        <f t="shared" si="458"/>
        <v>0</v>
      </c>
      <c r="Q763" s="47">
        <f t="shared" ref="Q763:S763" ca="1" si="465">Q764+Q765</f>
        <v>0</v>
      </c>
      <c r="R763" s="47">
        <f t="shared" ca="1" si="465"/>
        <v>0</v>
      </c>
      <c r="S763" s="47">
        <f t="shared" ca="1" si="465"/>
        <v>0</v>
      </c>
      <c r="T763" s="47">
        <f t="shared" ca="1" si="460"/>
        <v>0</v>
      </c>
      <c r="U763" s="47">
        <f t="shared" ca="1" si="461"/>
        <v>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7"/>
        <v>0</v>
      </c>
      <c r="P764" s="49">
        <f t="shared" si="458"/>
        <v>0</v>
      </c>
      <c r="Q764" s="49">
        <v>0</v>
      </c>
      <c r="R764" s="49">
        <v>0</v>
      </c>
      <c r="S764" s="49">
        <v>0</v>
      </c>
      <c r="T764" s="49">
        <f t="shared" si="460"/>
        <v>0</v>
      </c>
      <c r="U764" s="49">
        <f t="shared" si="461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7"/>
        <v>0</v>
      </c>
      <c r="P765" s="47">
        <f t="shared" si="458"/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t="shared" ca="1" si="460"/>
        <v>0</v>
      </c>
      <c r="U765" s="47">
        <f t="shared" ca="1" si="461"/>
        <v>0</v>
      </c>
    </row>
    <row r="766" spans="1:21" ht="18.75" hidden="1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6">L767+L768</f>
        <v>0</v>
      </c>
      <c r="M766" s="47">
        <f t="shared" si="466"/>
        <v>0</v>
      </c>
      <c r="N766" s="47">
        <f t="shared" si="466"/>
        <v>0</v>
      </c>
      <c r="O766" s="47">
        <f t="shared" si="457"/>
        <v>0</v>
      </c>
      <c r="P766" s="47">
        <f t="shared" si="458"/>
        <v>0</v>
      </c>
      <c r="Q766" s="47">
        <f t="shared" ref="Q766:S766" si="467">Q767+Q768</f>
        <v>0</v>
      </c>
      <c r="R766" s="47">
        <f t="shared" si="467"/>
        <v>0</v>
      </c>
      <c r="S766" s="47">
        <f t="shared" si="467"/>
        <v>0</v>
      </c>
      <c r="T766" s="47">
        <f t="shared" si="460"/>
        <v>0</v>
      </c>
      <c r="U766" s="47">
        <f t="shared" si="461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7"/>
        <v>0</v>
      </c>
      <c r="P767" s="49">
        <f t="shared" si="458"/>
        <v>0</v>
      </c>
      <c r="Q767" s="49">
        <v>0</v>
      </c>
      <c r="R767" s="49">
        <v>0</v>
      </c>
      <c r="S767" s="49">
        <v>0</v>
      </c>
      <c r="T767" s="49">
        <f t="shared" si="460"/>
        <v>0</v>
      </c>
      <c r="U767" s="49">
        <f t="shared" si="461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7"/>
        <v>0</v>
      </c>
      <c r="P768" s="47">
        <f t="shared" si="458"/>
        <v>0</v>
      </c>
      <c r="Q768" s="47">
        <v>0</v>
      </c>
      <c r="R768" s="47">
        <v>0</v>
      </c>
      <c r="S768" s="47">
        <v>0</v>
      </c>
      <c r="T768" s="47">
        <f t="shared" si="460"/>
        <v>0</v>
      </c>
      <c r="U768" s="47">
        <f t="shared" si="461"/>
        <v>0</v>
      </c>
    </row>
    <row r="769" spans="1:21" ht="19.5" hidden="1" x14ac:dyDescent="0.3">
      <c r="A769" s="139"/>
      <c r="B769" s="140"/>
      <c r="C769" s="525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IFERROR(__xludf.DUMMYFUNCTION("IMPORTRANGE(""https://docs.google.com/spreadsheets/d/1eHaY18a8A9IcSdp1K8H6x8fbOy06t2VsZHhMHf-1x7Y/edit?usp=sharing"",""แผน!FI87"")"),1)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IFERROR(__xludf.DUMMYFUNCTION("IMPORTRANGE(""https://docs.google.com/spreadsheets/d/1eHaY18a8A9IcSdp1K8H6x8fbOy06t2VsZHhMHf-1x7Y/edit?usp=sharing"",""แผน!FQ87"")"),0)</f>
        <v>0</v>
      </c>
      <c r="J772" s="169">
        <v>0</v>
      </c>
      <c r="K772" s="47">
        <f ca="1">IF(I772&gt;0,J772*100/I772,0)</f>
        <v>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IFERROR(__xludf.DUMMYFUNCTION("IMPORTRANGE(""https://docs.google.com/spreadsheets/d/1eHaY18a8A9IcSdp1K8H6x8fbOy06t2VsZHhMHf-1x7Y/edit?usp=sharing"",""แผน!FR87"")"),0)</f>
        <v>0</v>
      </c>
      <c r="J774" s="169">
        <v>0</v>
      </c>
      <c r="K774" s="47">
        <f ca="1">IF(I774&gt;0,J774*100/I774,0)</f>
        <v>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IFERROR(__xludf.DUMMYFUNCTION("IMPORTRANGE(""https://docs.google.com/spreadsheets/d/1eHaY18a8A9IcSdp1K8H6x8fbOy06t2VsZHhMHf-1x7Y/edit?usp=sharing"",""แผน!FS87"")"),0)</f>
        <v>0</v>
      </c>
      <c r="J775" s="169">
        <v>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IFERROR(__xludf.DUMMYFUNCTION("IMPORTRANGE(""https://docs.google.com/spreadsheets/d/1eHaY18a8A9IcSdp1K8H6x8fbOy06t2VsZHhMHf-1x7Y/edit?usp=sharing"",""แผน!FT87"")"),0)</f>
        <v>0</v>
      </c>
      <c r="J776" s="378">
        <v>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372">
        <f ca="1">IFERROR(__xludf.DUMMYFUNCTION("IMPORTRANGE(""https://docs.google.com/spreadsheets/d/10OvvATaaLtwErnr3qtWFcTmtbfpFEt5Bsqel9sXx0uE/edit?usp=sharing"",""งานกองทุน!F87"")"),556395.96)</f>
        <v>556395.96</v>
      </c>
      <c r="K778" s="47">
        <f t="shared" ref="K778:K785" ca="1" si="468">IF(I778&gt;0,J778*100/I778,0)</f>
        <v>95.756363477342205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IFERROR(__xludf.DUMMYFUNCTION("IMPORTRANGE(""https://docs.google.com/spreadsheets/d/10OvvATaaLtwErnr3qtWFcTmtbfpFEt5Bsqel9sXx0uE/edit?usp=sharing"",""งานกองทุน!C87"")"),57)</f>
        <v>57</v>
      </c>
      <c r="J779" s="372">
        <f ca="1">IFERROR(__xludf.DUMMYFUNCTION("IMPORTRANGE(""https://docs.google.com/spreadsheets/d/10OvvATaaLtwErnr3qtWFcTmtbfpFEt5Bsqel9sXx0uE/edit?usp=sharing"",""งานกองทุน!E87"")"),51)</f>
        <v>51</v>
      </c>
      <c r="K779" s="47">
        <f t="shared" ca="1" si="468"/>
        <v>89.473684210526315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IFERROR(__xludf.DUMMYFUNCTION("IMPORTRANGE(""https://docs.google.com/spreadsheets/d/10OvvATaaLtwErnr3qtWFcTmtbfpFEt5Bsqel9sXx0uE/edit?usp=sharing"",""งานกองทุน!I87"")"),7000)</f>
        <v>7000</v>
      </c>
      <c r="J780" s="37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t="shared" ca="1" si="468"/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IFERROR(__xludf.DUMMYFUNCTION("IMPORTRANGE(""https://docs.google.com/spreadsheets/d/10OvvATaaLtwErnr3qtWFcTmtbfpFEt5Bsqel9sXx0uE/edit?usp=sharing"",""งานกองทุน!H87"")"),1)</f>
        <v>1</v>
      </c>
      <c r="J781" s="37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t="shared" ca="1" si="468"/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IFERROR(__xludf.DUMMYFUNCTION("IMPORTRANGE(""https://docs.google.com/spreadsheets/d/10OvvATaaLtwErnr3qtWFcTmtbfpFEt5Bsqel9sXx0uE/edit?usp=sharing"",""งานกองทุน!N87"")"),0)</f>
        <v>0</v>
      </c>
      <c r="J782" s="37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t="shared" ca="1" si="468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IFERROR(__xludf.DUMMYFUNCTION("IMPORTRANGE(""https://docs.google.com/spreadsheets/d/10OvvATaaLtwErnr3qtWFcTmtbfpFEt5Bsqel9sXx0uE/edit?usp=sharing"",""งานกองทุน!M87"")"),0)</f>
        <v>0</v>
      </c>
      <c r="J783" s="37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t="shared" ca="1" si="468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IFERROR(__xludf.DUMMYFUNCTION("IMPORTRANGE(""https://docs.google.com/spreadsheets/d/10OvvATaaLtwErnr3qtWFcTmtbfpFEt5Bsqel9sXx0uE/edit?usp=sharing"",""งานกองทุน!S87"")"),924000)</f>
        <v>924000</v>
      </c>
      <c r="J784" s="37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t="shared" ca="1" si="468"/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IFERROR(__xludf.DUMMYFUNCTION("IMPORTRANGE(""https://docs.google.com/spreadsheets/d/10OvvATaaLtwErnr3qtWFcTmtbfpFEt5Bsqel9sXx0uE/edit?usp=sharing"",""งานกองทุน!R87"")"),33)</f>
        <v>33</v>
      </c>
      <c r="J785" s="205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t="shared" ca="1" si="468"/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D6FC8-1F31-4AE4-B933-2FDCBD4C62AB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336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5344953</v>
      </c>
      <c r="M18" s="35">
        <f t="shared" ca="1" si="0"/>
        <v>5968063</v>
      </c>
      <c r="N18" s="35">
        <f t="shared" ca="1" si="0"/>
        <v>5744344.9100000001</v>
      </c>
      <c r="O18" s="35">
        <f t="shared" ref="O18:O26" ca="1" si="1">IF(L18&gt;0,N18*100/L18,0)</f>
        <v>107.47231846566284</v>
      </c>
      <c r="P18" s="35">
        <f t="shared" ref="P18:P26" ca="1" si="2">IF(M18&gt;0,N18*100/M18,0)</f>
        <v>96.251412057815074</v>
      </c>
      <c r="Q18" s="35">
        <f t="shared" ref="Q18:S18" ca="1" si="3">Q19+Q20</f>
        <v>2871309.24</v>
      </c>
      <c r="R18" s="35">
        <f t="shared" ca="1" si="3"/>
        <v>2406669.0099999998</v>
      </c>
      <c r="S18" s="35">
        <f t="shared" ca="1" si="3"/>
        <v>2303451.0099999998</v>
      </c>
      <c r="T18" s="35">
        <f t="shared" ref="T18:T26" ca="1" si="4">IF(Q18&gt;0,S18*100/Q18,0)</f>
        <v>80.223020840485972</v>
      </c>
      <c r="U18" s="35">
        <f t="shared" ref="U18:U26" ca="1" si="5">IF(R18&gt;0,S18*100/R18,0)</f>
        <v>95.711167610871428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5344953</v>
      </c>
      <c r="M20" s="39">
        <f t="shared" ca="1" si="6"/>
        <v>5968063</v>
      </c>
      <c r="N20" s="39">
        <f t="shared" ca="1" si="6"/>
        <v>5744344.9100000001</v>
      </c>
      <c r="O20" s="39">
        <f t="shared" ca="1" si="1"/>
        <v>107.47231846566284</v>
      </c>
      <c r="P20" s="39">
        <f t="shared" ca="1" si="2"/>
        <v>96.251412057815074</v>
      </c>
      <c r="Q20" s="39">
        <f t="shared" ca="1" si="7"/>
        <v>2871309.24</v>
      </c>
      <c r="R20" s="39">
        <f t="shared" ca="1" si="7"/>
        <v>2406669.0099999998</v>
      </c>
      <c r="S20" s="39">
        <f t="shared" ca="1" si="7"/>
        <v>2303451.0099999998</v>
      </c>
      <c r="T20" s="39">
        <f t="shared" ca="1" si="4"/>
        <v>80.223020840485972</v>
      </c>
      <c r="U20" s="39">
        <f t="shared" ca="1" si="5"/>
        <v>95.711167610871428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5344953</v>
      </c>
      <c r="M21" s="47">
        <f t="shared" ca="1" si="8"/>
        <v>5968063</v>
      </c>
      <c r="N21" s="47">
        <f t="shared" ca="1" si="8"/>
        <v>5712144.9100000001</v>
      </c>
      <c r="O21" s="47">
        <f t="shared" ca="1" si="1"/>
        <v>106.86988098866351</v>
      </c>
      <c r="P21" s="47">
        <f t="shared" ca="1" si="2"/>
        <v>95.711873517420983</v>
      </c>
      <c r="Q21" s="47">
        <f t="shared" ref="Q21:S21" ca="1" si="9">Q22+Q23</f>
        <v>2871309.24</v>
      </c>
      <c r="R21" s="47">
        <f t="shared" ca="1" si="9"/>
        <v>2406669.0099999998</v>
      </c>
      <c r="S21" s="47">
        <f t="shared" ca="1" si="9"/>
        <v>2303451.0099999998</v>
      </c>
      <c r="T21" s="47">
        <f t="shared" ca="1" si="4"/>
        <v>80.223020840485972</v>
      </c>
      <c r="U21" s="47">
        <f t="shared" ca="1" si="5"/>
        <v>95.711167610871428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5344953</v>
      </c>
      <c r="M23" s="47">
        <f t="shared" ca="1" si="12"/>
        <v>5968063</v>
      </c>
      <c r="N23" s="47">
        <f t="shared" ca="1" si="12"/>
        <v>5712144.9100000001</v>
      </c>
      <c r="O23" s="47">
        <f t="shared" ca="1" si="1"/>
        <v>106.86988098866351</v>
      </c>
      <c r="P23" s="47">
        <f t="shared" ca="1" si="2"/>
        <v>95.711873517420983</v>
      </c>
      <c r="Q23" s="47">
        <f t="shared" ca="1" si="11"/>
        <v>2871309.24</v>
      </c>
      <c r="R23" s="47">
        <f t="shared" ca="1" si="11"/>
        <v>2406669.0099999998</v>
      </c>
      <c r="S23" s="47">
        <f t="shared" ca="1" si="11"/>
        <v>2303451.0099999998</v>
      </c>
      <c r="T23" s="47">
        <f t="shared" ca="1" si="4"/>
        <v>80.223020840485972</v>
      </c>
      <c r="U23" s="47">
        <f t="shared" ca="1" si="5"/>
        <v>95.711167610871428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0</v>
      </c>
      <c r="N24" s="47">
        <f t="shared" ca="1" si="13"/>
        <v>32200</v>
      </c>
      <c r="O24" s="47">
        <f t="shared" ca="1" si="1"/>
        <v>0</v>
      </c>
      <c r="P24" s="47">
        <f t="shared" ca="1" si="2"/>
        <v>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6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ca="1" si="15"/>
        <v>0</v>
      </c>
      <c r="M26" s="47">
        <f t="shared" ca="1" si="15"/>
        <v>0</v>
      </c>
      <c r="N26" s="47">
        <f t="shared" ca="1" si="15"/>
        <v>32200</v>
      </c>
      <c r="O26" s="47">
        <f t="shared" ca="1" si="1"/>
        <v>0</v>
      </c>
      <c r="P26" s="47">
        <f t="shared" ca="1" si="2"/>
        <v>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7">L44+L59+L72+L94+L125+L139+L157+L173+L186+L266+L282+L303+L320+L333+L356</f>
        <v>3725148</v>
      </c>
      <c r="M40" s="594">
        <f t="shared" ca="1" si="17"/>
        <v>3964763</v>
      </c>
      <c r="N40" s="594">
        <f t="shared" ca="1" si="17"/>
        <v>3875502.5300000003</v>
      </c>
      <c r="O40" s="594">
        <f ca="1">IF(L40&gt;0,N40*100/L40,0)</f>
        <v>104.03620285690663</v>
      </c>
      <c r="P40" s="594">
        <f ca="1">IF(M40&gt;0,N40*100/M40,0)</f>
        <v>97.748655594294036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8">L45+L46</f>
        <v>693258</v>
      </c>
      <c r="M44" s="79">
        <f t="shared" ca="1" si="18"/>
        <v>697828</v>
      </c>
      <c r="N44" s="79">
        <f t="shared" ca="1" si="18"/>
        <v>694914</v>
      </c>
      <c r="O44" s="79">
        <f t="shared" ref="O44:O52" ca="1" si="19">IF(L44&gt;0,N44*100/L44,0)</f>
        <v>100.23887210821945</v>
      </c>
      <c r="P44" s="79">
        <f t="shared" ref="P44:P52" ca="1" si="20">IF(M44&gt;0,N44*100/M44,0)</f>
        <v>99.582418590254335</v>
      </c>
      <c r="Q44" s="79">
        <f t="shared" ref="Q44:S44" si="21">Q45+Q46</f>
        <v>0</v>
      </c>
      <c r="R44" s="79">
        <f t="shared" si="21"/>
        <v>0</v>
      </c>
      <c r="S44" s="79">
        <f t="shared" si="21"/>
        <v>0</v>
      </c>
      <c r="T44" s="79">
        <f t="shared" ref="T44:T52" si="22">IF(Q44&gt;0,S44*100/Q44,0)</f>
        <v>0</v>
      </c>
      <c r="U44" s="79">
        <f t="shared" ref="U44:U52" si="23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4">L48+L51</f>
        <v>0</v>
      </c>
      <c r="M45" s="82">
        <f t="shared" si="24"/>
        <v>0</v>
      </c>
      <c r="N45" s="82">
        <f t="shared" si="24"/>
        <v>0</v>
      </c>
      <c r="O45" s="82">
        <f t="shared" si="19"/>
        <v>0</v>
      </c>
      <c r="P45" s="82">
        <f t="shared" si="20"/>
        <v>0</v>
      </c>
      <c r="Q45" s="82">
        <f t="shared" ref="Q45:S46" si="25">Q48+Q51</f>
        <v>0</v>
      </c>
      <c r="R45" s="82">
        <f t="shared" si="25"/>
        <v>0</v>
      </c>
      <c r="S45" s="82">
        <f t="shared" si="25"/>
        <v>0</v>
      </c>
      <c r="T45" s="82">
        <f t="shared" si="22"/>
        <v>0</v>
      </c>
      <c r="U45" s="82">
        <f t="shared" si="23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4"/>
        <v>693258</v>
      </c>
      <c r="M46" s="83">
        <f t="shared" ca="1" si="24"/>
        <v>697828</v>
      </c>
      <c r="N46" s="83">
        <f t="shared" ca="1" si="24"/>
        <v>694914</v>
      </c>
      <c r="O46" s="83">
        <f t="shared" ca="1" si="19"/>
        <v>100.23887210821945</v>
      </c>
      <c r="P46" s="83">
        <f t="shared" ca="1" si="20"/>
        <v>99.582418590254335</v>
      </c>
      <c r="Q46" s="83">
        <f t="shared" si="25"/>
        <v>0</v>
      </c>
      <c r="R46" s="83">
        <f t="shared" si="25"/>
        <v>0</v>
      </c>
      <c r="S46" s="83">
        <f t="shared" si="25"/>
        <v>0</v>
      </c>
      <c r="T46" s="83">
        <f t="shared" si="22"/>
        <v>0</v>
      </c>
      <c r="U46" s="83">
        <f t="shared" si="23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6">L48+L49</f>
        <v>693258</v>
      </c>
      <c r="M47" s="47">
        <f t="shared" ca="1" si="26"/>
        <v>697828</v>
      </c>
      <c r="N47" s="47">
        <f t="shared" ca="1" si="26"/>
        <v>694914</v>
      </c>
      <c r="O47" s="47">
        <f t="shared" ca="1" si="19"/>
        <v>100.23887210821945</v>
      </c>
      <c r="P47" s="47">
        <f t="shared" ca="1" si="20"/>
        <v>99.582418590254335</v>
      </c>
      <c r="Q47" s="47">
        <f t="shared" ref="Q47:S47" si="27">Q48+Q49</f>
        <v>0</v>
      </c>
      <c r="R47" s="47">
        <f t="shared" si="27"/>
        <v>0</v>
      </c>
      <c r="S47" s="47">
        <f t="shared" si="27"/>
        <v>0</v>
      </c>
      <c r="T47" s="47">
        <f t="shared" si="22"/>
        <v>0</v>
      </c>
      <c r="U47" s="47">
        <f t="shared" si="23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19"/>
        <v>0</v>
      </c>
      <c r="P48" s="49">
        <f t="shared" si="20"/>
        <v>0</v>
      </c>
      <c r="Q48" s="49">
        <v>0</v>
      </c>
      <c r="R48" s="49">
        <v>0</v>
      </c>
      <c r="S48" s="49">
        <v>0</v>
      </c>
      <c r="T48" s="49">
        <f t="shared" si="22"/>
        <v>0</v>
      </c>
      <c r="U48" s="49">
        <f t="shared" si="23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IFERROR(__xludf.DUMMYFUNCTION("IMPORTRANGE(""https://docs.google.com/spreadsheets/d/1-uDff_7J0KD5mKrp0Vvzr7lt3OU09vwQwhkpOPPYv2Y/edit?usp=sharing"",""งบพรบ!V88"")"),697828)</f>
        <v>697828</v>
      </c>
      <c r="N49" s="47">
        <f ca="1">IFERROR(__xludf.DUMMYFUNCTION("IMPORTRANGE(""https://docs.google.com/spreadsheets/d/1-uDff_7J0KD5mKrp0Vvzr7lt3OU09vwQwhkpOPPYv2Y/edit?usp=sharing"",""งบพรบ!Y88"")"),694914)</f>
        <v>694914</v>
      </c>
      <c r="O49" s="47">
        <f t="shared" ca="1" si="19"/>
        <v>100.23887210821945</v>
      </c>
      <c r="P49" s="47">
        <f t="shared" ca="1" si="20"/>
        <v>99.582418590254335</v>
      </c>
      <c r="Q49" s="47">
        <v>0</v>
      </c>
      <c r="R49" s="47">
        <v>0</v>
      </c>
      <c r="S49" s="47">
        <v>0</v>
      </c>
      <c r="T49" s="47">
        <f t="shared" si="22"/>
        <v>0</v>
      </c>
      <c r="U49" s="47">
        <f t="shared" si="23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8">L51+L52</f>
        <v>0</v>
      </c>
      <c r="M50" s="47">
        <f t="shared" ca="1" si="28"/>
        <v>0</v>
      </c>
      <c r="N50" s="47">
        <f t="shared" ca="1" si="28"/>
        <v>0</v>
      </c>
      <c r="O50" s="47">
        <f t="shared" ca="1" si="19"/>
        <v>0</v>
      </c>
      <c r="P50" s="47">
        <f t="shared" ca="1" si="20"/>
        <v>0</v>
      </c>
      <c r="Q50" s="47">
        <f t="shared" ref="Q50:S50" si="29">Q51+Q52</f>
        <v>0</v>
      </c>
      <c r="R50" s="47">
        <f t="shared" si="29"/>
        <v>0</v>
      </c>
      <c r="S50" s="47">
        <f t="shared" si="29"/>
        <v>0</v>
      </c>
      <c r="T50" s="47">
        <f t="shared" si="22"/>
        <v>0</v>
      </c>
      <c r="U50" s="47">
        <f t="shared" si="23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19"/>
        <v>0</v>
      </c>
      <c r="P51" s="49">
        <f t="shared" si="20"/>
        <v>0</v>
      </c>
      <c r="Q51" s="49">
        <v>0</v>
      </c>
      <c r="R51" s="49">
        <v>0</v>
      </c>
      <c r="S51" s="49">
        <v>0</v>
      </c>
      <c r="T51" s="49">
        <f t="shared" si="22"/>
        <v>0</v>
      </c>
      <c r="U51" s="49">
        <f t="shared" si="23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t="shared" ca="1" si="19"/>
        <v>0</v>
      </c>
      <c r="P52" s="47">
        <f t="shared" ca="1" si="20"/>
        <v>0</v>
      </c>
      <c r="Q52" s="47">
        <v>0</v>
      </c>
      <c r="R52" s="47">
        <v>0</v>
      </c>
      <c r="S52" s="47">
        <v>0</v>
      </c>
      <c r="T52" s="47">
        <f t="shared" si="22"/>
        <v>0</v>
      </c>
      <c r="U52" s="47">
        <f t="shared" si="23"/>
        <v>0</v>
      </c>
    </row>
    <row r="53" spans="1:21" ht="18.75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0">L60+L61</f>
        <v>541400</v>
      </c>
      <c r="M59" s="106">
        <f t="shared" ca="1" si="30"/>
        <v>553450</v>
      </c>
      <c r="N59" s="106">
        <f t="shared" ca="1" si="30"/>
        <v>572993.13</v>
      </c>
      <c r="O59" s="106">
        <f t="shared" ref="O59:O67" ca="1" si="31">IF(L59&gt;0,N59*100/L59,0)</f>
        <v>105.83545068341337</v>
      </c>
      <c r="P59" s="106">
        <f t="shared" ref="P59:P67" ca="1" si="32">IF(M59&gt;0,N59*100/M59,0)</f>
        <v>103.53114644502665</v>
      </c>
      <c r="Q59" s="106">
        <f t="shared" ref="Q59:S59" si="33">Q60+Q61</f>
        <v>0</v>
      </c>
      <c r="R59" s="106">
        <f t="shared" si="33"/>
        <v>0</v>
      </c>
      <c r="S59" s="106">
        <f t="shared" si="33"/>
        <v>0</v>
      </c>
      <c r="T59" s="106">
        <f t="shared" ref="T59:T67" si="34">IF(Q59&gt;0,S59*100/Q59,0)</f>
        <v>0</v>
      </c>
      <c r="U59" s="106">
        <f t="shared" ref="U59:U67" si="35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6">L63+L66</f>
        <v>0</v>
      </c>
      <c r="M60" s="110">
        <f t="shared" si="36"/>
        <v>0</v>
      </c>
      <c r="N60" s="110">
        <f t="shared" si="36"/>
        <v>0</v>
      </c>
      <c r="O60" s="110">
        <f t="shared" si="31"/>
        <v>0</v>
      </c>
      <c r="P60" s="110">
        <f t="shared" si="32"/>
        <v>0</v>
      </c>
      <c r="Q60" s="110">
        <f t="shared" ref="Q60:S61" si="37">Q63+Q66</f>
        <v>0</v>
      </c>
      <c r="R60" s="110">
        <f t="shared" si="37"/>
        <v>0</v>
      </c>
      <c r="S60" s="110">
        <f t="shared" si="37"/>
        <v>0</v>
      </c>
      <c r="T60" s="110">
        <f t="shared" si="34"/>
        <v>0</v>
      </c>
      <c r="U60" s="110">
        <f t="shared" si="35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6"/>
        <v>541400</v>
      </c>
      <c r="M61" s="109">
        <f t="shared" ca="1" si="36"/>
        <v>553450</v>
      </c>
      <c r="N61" s="109">
        <f t="shared" ca="1" si="36"/>
        <v>572993.13</v>
      </c>
      <c r="O61" s="109">
        <f t="shared" ca="1" si="31"/>
        <v>105.83545068341337</v>
      </c>
      <c r="P61" s="109">
        <f t="shared" ca="1" si="32"/>
        <v>103.53114644502665</v>
      </c>
      <c r="Q61" s="109">
        <f t="shared" si="37"/>
        <v>0</v>
      </c>
      <c r="R61" s="109">
        <f t="shared" si="37"/>
        <v>0</v>
      </c>
      <c r="S61" s="109">
        <f t="shared" si="37"/>
        <v>0</v>
      </c>
      <c r="T61" s="109">
        <f t="shared" si="34"/>
        <v>0</v>
      </c>
      <c r="U61" s="109">
        <f t="shared" si="35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8">L63+L64</f>
        <v>541400</v>
      </c>
      <c r="M62" s="47">
        <f t="shared" ca="1" si="38"/>
        <v>553450</v>
      </c>
      <c r="N62" s="47">
        <f t="shared" ca="1" si="38"/>
        <v>540793.13</v>
      </c>
      <c r="O62" s="47">
        <f t="shared" ca="1" si="31"/>
        <v>99.887907277428894</v>
      </c>
      <c r="P62" s="47">
        <f t="shared" ca="1" si="32"/>
        <v>97.713096033968739</v>
      </c>
      <c r="Q62" s="47">
        <f t="shared" ref="Q62:S62" si="39">Q63+Q64</f>
        <v>0</v>
      </c>
      <c r="R62" s="47">
        <f t="shared" si="39"/>
        <v>0</v>
      </c>
      <c r="S62" s="47">
        <f t="shared" si="39"/>
        <v>0</v>
      </c>
      <c r="T62" s="47">
        <f t="shared" si="34"/>
        <v>0</v>
      </c>
      <c r="U62" s="47">
        <f t="shared" si="35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1"/>
        <v>0</v>
      </c>
      <c r="P63" s="49">
        <f t="shared" si="32"/>
        <v>0</v>
      </c>
      <c r="Q63" s="49">
        <v>0</v>
      </c>
      <c r="R63" s="49">
        <v>0</v>
      </c>
      <c r="S63" s="49">
        <v>0</v>
      </c>
      <c r="T63" s="49">
        <f t="shared" si="34"/>
        <v>0</v>
      </c>
      <c r="U63" s="49">
        <f t="shared" si="35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IFERROR(__xludf.DUMMYFUNCTION("IMPORTRANGE(""https://docs.google.com/spreadsheets/d/1-uDff_7J0KD5mKrp0Vvzr7lt3OU09vwQwhkpOPPYv2Y/edit?usp=sharing"",""งบพรบ!AH88"")"),553450)</f>
        <v>553450</v>
      </c>
      <c r="N64" s="47">
        <f ca="1">IFERROR(__xludf.DUMMYFUNCTION("IMPORTRANGE(""https://docs.google.com/spreadsheets/d/1-uDff_7J0KD5mKrp0Vvzr7lt3OU09vwQwhkpOPPYv2Y/edit?usp=sharing"",""งบพรบ!AJ88"")"),540793.13)</f>
        <v>540793.13</v>
      </c>
      <c r="O64" s="47">
        <f t="shared" ca="1" si="31"/>
        <v>99.887907277428894</v>
      </c>
      <c r="P64" s="47">
        <f t="shared" ca="1" si="32"/>
        <v>97.713096033968739</v>
      </c>
      <c r="Q64" s="47">
        <v>0</v>
      </c>
      <c r="R64" s="47">
        <v>0</v>
      </c>
      <c r="S64" s="47">
        <v>0</v>
      </c>
      <c r="T64" s="47">
        <f t="shared" si="34"/>
        <v>0</v>
      </c>
      <c r="U64" s="47">
        <f t="shared" si="35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0">L66+L67</f>
        <v>0</v>
      </c>
      <c r="M65" s="47">
        <f t="shared" ca="1" si="40"/>
        <v>0</v>
      </c>
      <c r="N65" s="47">
        <f t="shared" ca="1" si="40"/>
        <v>32200</v>
      </c>
      <c r="O65" s="47">
        <f t="shared" ca="1" si="31"/>
        <v>0</v>
      </c>
      <c r="P65" s="47">
        <f t="shared" ca="1" si="32"/>
        <v>0</v>
      </c>
      <c r="Q65" s="47">
        <f t="shared" ref="Q65:S65" si="41">Q66+Q67</f>
        <v>0</v>
      </c>
      <c r="R65" s="47">
        <f t="shared" si="41"/>
        <v>0</v>
      </c>
      <c r="S65" s="47">
        <f t="shared" si="41"/>
        <v>0</v>
      </c>
      <c r="T65" s="47">
        <f t="shared" si="34"/>
        <v>0</v>
      </c>
      <c r="U65" s="47">
        <f t="shared" si="35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1"/>
        <v>0</v>
      </c>
      <c r="P66" s="49">
        <f t="shared" si="32"/>
        <v>0</v>
      </c>
      <c r="Q66" s="49">
        <v>0</v>
      </c>
      <c r="R66" s="49">
        <v>0</v>
      </c>
      <c r="S66" s="49">
        <v>0</v>
      </c>
      <c r="T66" s="49">
        <f t="shared" si="34"/>
        <v>0</v>
      </c>
      <c r="U66" s="49">
        <f t="shared" si="35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IFERROR(__xludf.DUMMYFUNCTION("IMPORTRANGE(""https://docs.google.com/spreadsheets/d/1-uDff_7J0KD5mKrp0Vvzr7lt3OU09vwQwhkpOPPYv2Y/edit?usp=sharing"",""งบพรบ!AK88"")"),32200)</f>
        <v>32200</v>
      </c>
      <c r="O67" s="111">
        <f t="shared" ca="1" si="31"/>
        <v>0</v>
      </c>
      <c r="P67" s="111">
        <f t="shared" ca="1" si="32"/>
        <v>0</v>
      </c>
      <c r="Q67" s="111">
        <v>0</v>
      </c>
      <c r="R67" s="111">
        <v>0</v>
      </c>
      <c r="S67" s="111">
        <v>0</v>
      </c>
      <c r="T67" s="111">
        <f t="shared" si="34"/>
        <v>0</v>
      </c>
      <c r="U67" s="111">
        <f t="shared" si="35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2">I82</f>
        <v>2</v>
      </c>
      <c r="J70" s="128">
        <f t="shared" si="42"/>
        <v>2</v>
      </c>
      <c r="K70" s="35">
        <f t="shared" ref="K70:K71" ca="1" si="43">IF(I70&gt;0,J70*100/I70,0)</f>
        <v>100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2"/>
        <v>61</v>
      </c>
      <c r="J71" s="128">
        <f t="shared" si="42"/>
        <v>61</v>
      </c>
      <c r="K71" s="35">
        <f t="shared" ca="1" si="43"/>
        <v>100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9"/>
      <c r="B72" s="200"/>
      <c r="C72" s="40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4">L73+L74</f>
        <v>150000</v>
      </c>
      <c r="M72" s="133">
        <f t="shared" ca="1" si="44"/>
        <v>150000</v>
      </c>
      <c r="N72" s="133">
        <f t="shared" ca="1" si="44"/>
        <v>137000</v>
      </c>
      <c r="O72" s="133">
        <f t="shared" ref="O72:O80" ca="1" si="45">IF(L72&gt;0,N72*100/L72,0)</f>
        <v>91.333333333333329</v>
      </c>
      <c r="P72" s="133">
        <f t="shared" ref="P72:P80" ca="1" si="46">IF(M72&gt;0,N72*100/M72,0)</f>
        <v>91.333333333333329</v>
      </c>
      <c r="Q72" s="133">
        <f t="shared" ref="Q72:S72" ca="1" si="47">Q73+Q74</f>
        <v>792520</v>
      </c>
      <c r="R72" s="133">
        <f t="shared" ca="1" si="47"/>
        <v>493560</v>
      </c>
      <c r="S72" s="133">
        <f t="shared" ca="1" si="47"/>
        <v>493560</v>
      </c>
      <c r="T72" s="133">
        <f t="shared" ref="T72:T80" ca="1" si="48">IF(Q72&gt;0,S72*100/Q72,0)</f>
        <v>62.277292686619894</v>
      </c>
      <c r="U72" s="133">
        <f t="shared" ref="U72:U80" ca="1" si="49">IF(R72&gt;0,S72*100/R72,0)</f>
        <v>100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0">L76+L79</f>
        <v>0</v>
      </c>
      <c r="M73" s="49">
        <f t="shared" si="50"/>
        <v>0</v>
      </c>
      <c r="N73" s="49">
        <f t="shared" si="50"/>
        <v>0</v>
      </c>
      <c r="O73" s="49">
        <f t="shared" si="45"/>
        <v>0</v>
      </c>
      <c r="P73" s="49">
        <f t="shared" si="46"/>
        <v>0</v>
      </c>
      <c r="Q73" s="49">
        <f t="shared" ref="Q73:S74" si="51">Q76+Q79</f>
        <v>0</v>
      </c>
      <c r="R73" s="49">
        <f t="shared" si="51"/>
        <v>0</v>
      </c>
      <c r="S73" s="49">
        <f t="shared" si="51"/>
        <v>0</v>
      </c>
      <c r="T73" s="49">
        <f t="shared" si="48"/>
        <v>0</v>
      </c>
      <c r="U73" s="49">
        <f t="shared" si="49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0"/>
        <v>150000</v>
      </c>
      <c r="M74" s="47">
        <f t="shared" ca="1" si="50"/>
        <v>150000</v>
      </c>
      <c r="N74" s="47">
        <f t="shared" ca="1" si="50"/>
        <v>137000</v>
      </c>
      <c r="O74" s="47">
        <f t="shared" ca="1" si="45"/>
        <v>91.333333333333329</v>
      </c>
      <c r="P74" s="47">
        <f t="shared" ca="1" si="46"/>
        <v>91.333333333333329</v>
      </c>
      <c r="Q74" s="47">
        <f t="shared" ca="1" si="51"/>
        <v>792520</v>
      </c>
      <c r="R74" s="47">
        <f t="shared" ca="1" si="51"/>
        <v>493560</v>
      </c>
      <c r="S74" s="47">
        <f t="shared" ca="1" si="51"/>
        <v>493560</v>
      </c>
      <c r="T74" s="47">
        <f t="shared" ca="1" si="48"/>
        <v>62.277292686619894</v>
      </c>
      <c r="U74" s="47">
        <f t="shared" ca="1" si="49"/>
        <v>100</v>
      </c>
    </row>
    <row r="75" spans="1:21" ht="18.75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2">L76+L77</f>
        <v>150000</v>
      </c>
      <c r="M75" s="47">
        <f t="shared" ca="1" si="52"/>
        <v>150000</v>
      </c>
      <c r="N75" s="47">
        <f t="shared" ca="1" si="52"/>
        <v>137000</v>
      </c>
      <c r="O75" s="47">
        <f t="shared" ca="1" si="45"/>
        <v>91.333333333333329</v>
      </c>
      <c r="P75" s="47">
        <f t="shared" ca="1" si="46"/>
        <v>91.333333333333329</v>
      </c>
      <c r="Q75" s="47">
        <f t="shared" ref="Q75:S75" ca="1" si="53">Q76+Q77</f>
        <v>792520</v>
      </c>
      <c r="R75" s="47">
        <f t="shared" ca="1" si="53"/>
        <v>493560</v>
      </c>
      <c r="S75" s="47">
        <f t="shared" ca="1" si="53"/>
        <v>493560</v>
      </c>
      <c r="T75" s="47">
        <f t="shared" ca="1" si="48"/>
        <v>62.277292686619894</v>
      </c>
      <c r="U75" s="47">
        <f t="shared" ca="1" si="49"/>
        <v>100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5"/>
        <v>0</v>
      </c>
      <c r="P76" s="49">
        <f t="shared" si="46"/>
        <v>0</v>
      </c>
      <c r="Q76" s="49">
        <v>0</v>
      </c>
      <c r="R76" s="49">
        <v>0</v>
      </c>
      <c r="S76" s="49">
        <v>0</v>
      </c>
      <c r="T76" s="49">
        <f t="shared" si="48"/>
        <v>0</v>
      </c>
      <c r="U76" s="49">
        <f t="shared" si="49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IFERROR(__xludf.DUMMYFUNCTION("IMPORTRANGE(""https://docs.google.com/spreadsheets/d/1-uDff_7J0KD5mKrp0Vvzr7lt3OU09vwQwhkpOPPYv2Y/edit?usp=sharing"",""งบพรบ!AM88"")"),150000)</f>
        <v>150000</v>
      </c>
      <c r="M77" s="47">
        <f ca="1">IFERROR(__xludf.DUMMYFUNCTION("IMPORTRANGE(""https://docs.google.com/spreadsheets/d/1-uDff_7J0KD5mKrp0Vvzr7lt3OU09vwQwhkpOPPYv2Y/edit?usp=sharing"",""งบพรบ!AR88"")"),150000)</f>
        <v>150000</v>
      </c>
      <c r="N77" s="47">
        <f ca="1">IFERROR(__xludf.DUMMYFUNCTION("IMPORTRANGE(""https://docs.google.com/spreadsheets/d/1-uDff_7J0KD5mKrp0Vvzr7lt3OU09vwQwhkpOPPYv2Y/edit?usp=sharing"",""งบพรบ!AT88"")"),137000)</f>
        <v>137000</v>
      </c>
      <c r="O77" s="47">
        <f t="shared" ca="1" si="45"/>
        <v>91.333333333333329</v>
      </c>
      <c r="P77" s="47">
        <f t="shared" ca="1" si="46"/>
        <v>91.333333333333329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IFERROR(__xludf.DUMMYFUNCTION("IMPORTRANGE(""https://docs.google.com/spreadsheets/d/1ItG2mGa2ceCfYo0BwxsXqNm01IGEUdYcSSLTEv9YCik/edit?usp=sharing"",""เบิกจ่ายกองทุน!BI88"")"),493560)</f>
        <v>493560</v>
      </c>
      <c r="S77" s="47">
        <f ca="1">IFERROR(__xludf.DUMMYFUNCTION("IMPORTRANGE(""https://docs.google.com/spreadsheets/d/1ItG2mGa2ceCfYo0BwxsXqNm01IGEUdYcSSLTEv9YCik/edit?usp=sharing"",""เบิกจ่ายกองทุน!BJ88"")"),493560)</f>
        <v>493560</v>
      </c>
      <c r="T77" s="47">
        <f t="shared" ca="1" si="48"/>
        <v>62.277292686619894</v>
      </c>
      <c r="U77" s="47">
        <f t="shared" ca="1" si="49"/>
        <v>100</v>
      </c>
    </row>
    <row r="78" spans="1:21" ht="18.75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4">L79+L80</f>
        <v>0</v>
      </c>
      <c r="M78" s="47">
        <f t="shared" ca="1" si="54"/>
        <v>0</v>
      </c>
      <c r="N78" s="47">
        <f t="shared" ca="1" si="54"/>
        <v>0</v>
      </c>
      <c r="O78" s="47">
        <f t="shared" ca="1" si="45"/>
        <v>0</v>
      </c>
      <c r="P78" s="47">
        <f t="shared" ca="1" si="46"/>
        <v>0</v>
      </c>
      <c r="Q78" s="47">
        <f t="shared" ref="Q78:S78" ca="1" si="55">Q79+Q80</f>
        <v>0</v>
      </c>
      <c r="R78" s="47">
        <f t="shared" ca="1" si="55"/>
        <v>0</v>
      </c>
      <c r="S78" s="47">
        <f t="shared" ca="1" si="55"/>
        <v>0</v>
      </c>
      <c r="T78" s="47">
        <f t="shared" ca="1" si="48"/>
        <v>0</v>
      </c>
      <c r="U78" s="47">
        <f t="shared" ca="1" si="49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5"/>
        <v>0</v>
      </c>
      <c r="P79" s="49">
        <f t="shared" si="46"/>
        <v>0</v>
      </c>
      <c r="Q79" s="49">
        <v>0</v>
      </c>
      <c r="R79" s="47">
        <v>0</v>
      </c>
      <c r="S79" s="47">
        <v>0</v>
      </c>
      <c r="T79" s="49">
        <f t="shared" si="48"/>
        <v>0</v>
      </c>
      <c r="U79" s="49">
        <f t="shared" si="49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t="shared" ca="1" si="45"/>
        <v>0</v>
      </c>
      <c r="P80" s="47">
        <f t="shared" ca="1" si="46"/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t="shared" ca="1" si="48"/>
        <v>0</v>
      </c>
      <c r="U80" s="47">
        <f t="shared" ca="1" si="49"/>
        <v>0</v>
      </c>
    </row>
    <row r="81" spans="1:21" ht="19.5" x14ac:dyDescent="0.3">
      <c r="A81" s="139"/>
      <c r="B81" s="140"/>
      <c r="C81" s="40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6">I84+I86+I88</f>
        <v>2</v>
      </c>
      <c r="J82" s="371">
        <f t="shared" si="56"/>
        <v>2</v>
      </c>
      <c r="K82" s="149">
        <f t="shared" ref="K82:K90" ca="1" si="57">IF(I82&gt;0,J82*100/I82,0)</f>
        <v>100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6"/>
        <v>61</v>
      </c>
      <c r="J83" s="371">
        <f t="shared" si="56"/>
        <v>61</v>
      </c>
      <c r="K83" s="149">
        <f t="shared" ca="1" si="57"/>
        <v>100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IFERROR(__xludf.DUMMYFUNCTION("IMPORTRANGE(""https://docs.google.com/spreadsheets/d/1eHaY18a8A9IcSdp1K8H6x8fbOy06t2VsZHhMHf-1x7Y/edit?usp=sharing"",""แผน!H88"")"),1)</f>
        <v>1</v>
      </c>
      <c r="J84" s="169">
        <v>1</v>
      </c>
      <c r="K84" s="154">
        <f t="shared" ca="1" si="57"/>
        <v>100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IFERROR(__xludf.DUMMYFUNCTION("IMPORTRANGE(""https://docs.google.com/spreadsheets/d/1eHaY18a8A9IcSdp1K8H6x8fbOy06t2VsZHhMHf-1x7Y/edit?usp=sharing"",""แผน!I88"")"),31)</f>
        <v>31</v>
      </c>
      <c r="J85" s="169">
        <v>31</v>
      </c>
      <c r="K85" s="154">
        <f t="shared" ca="1" si="57"/>
        <v>100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IFERROR(__xludf.DUMMYFUNCTION("IMPORTRANGE(""https://docs.google.com/spreadsheets/d/1eHaY18a8A9IcSdp1K8H6x8fbOy06t2VsZHhMHf-1x7Y/edit?usp=sharing"",""แผน!F88"")"),1)</f>
        <v>1</v>
      </c>
      <c r="J86" s="169">
        <v>1</v>
      </c>
      <c r="K86" s="154">
        <f t="shared" ca="1" si="57"/>
        <v>100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IFERROR(__xludf.DUMMYFUNCTION("IMPORTRANGE(""https://docs.google.com/spreadsheets/d/1eHaY18a8A9IcSdp1K8H6x8fbOy06t2VsZHhMHf-1x7Y/edit?usp=sharing"",""แผน!G88"")"),30)</f>
        <v>30</v>
      </c>
      <c r="J87" s="169">
        <v>30</v>
      </c>
      <c r="K87" s="154">
        <f t="shared" ca="1" si="57"/>
        <v>100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IFERROR(__xludf.DUMMYFUNCTION("IMPORTRANGE(""https://docs.google.com/spreadsheets/d/1eHaY18a8A9IcSdp1K8H6x8fbOy06t2VsZHhMHf-1x7Y/edit?usp=sharing"",""แผน!D88"")"),0)</f>
        <v>0</v>
      </c>
      <c r="J88" s="169">
        <v>0</v>
      </c>
      <c r="K88" s="154">
        <f t="shared" ca="1" si="57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IFERROR(__xludf.DUMMYFUNCTION("IMPORTRANGE(""https://docs.google.com/spreadsheets/d/1eHaY18a8A9IcSdp1K8H6x8fbOy06t2VsZHhMHf-1x7Y/edit?usp=sharing"",""แผน!E88"")"),0)</f>
        <v>0</v>
      </c>
      <c r="J89" s="169">
        <v>0</v>
      </c>
      <c r="K89" s="154">
        <f t="shared" ca="1" si="57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IFERROR(__xludf.DUMMYFUNCTION("IMPORTRANGE(""https://docs.google.com/spreadsheets/d/1eHaY18a8A9IcSdp1K8H6x8fbOy06t2VsZHhMHf-1x7Y/edit?usp=sharing"",""แผน!J88"")"),2)</f>
        <v>2</v>
      </c>
      <c r="J90" s="169">
        <v>2</v>
      </c>
      <c r="K90" s="154">
        <f t="shared" ca="1" si="57"/>
        <v>100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8">I108</f>
        <v>30</v>
      </c>
      <c r="J92" s="128">
        <f t="shared" si="58"/>
        <v>30</v>
      </c>
      <c r="K92" s="35">
        <f t="shared" ref="K92:K93" ca="1" si="59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8"/>
        <v>10</v>
      </c>
      <c r="J93" s="128">
        <f t="shared" si="58"/>
        <v>10</v>
      </c>
      <c r="K93" s="35">
        <f t="shared" ca="1" si="59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0">L95+L96</f>
        <v>6000</v>
      </c>
      <c r="M94" s="133">
        <f t="shared" ca="1" si="60"/>
        <v>6000</v>
      </c>
      <c r="N94" s="133">
        <f t="shared" ca="1" si="60"/>
        <v>6000</v>
      </c>
      <c r="O94" s="133">
        <f t="shared" ref="O94:O102" ca="1" si="61">IF(L94&gt;0,N94*100/L94,0)</f>
        <v>100</v>
      </c>
      <c r="P94" s="133">
        <f t="shared" ref="P94:P102" ca="1" si="62">IF(M94&gt;0,N94*100/M94,0)</f>
        <v>100</v>
      </c>
      <c r="Q94" s="133">
        <f t="shared" ref="Q94:S94" ca="1" si="63">Q95+Q96</f>
        <v>84420</v>
      </c>
      <c r="R94" s="133">
        <f t="shared" ca="1" si="63"/>
        <v>49270</v>
      </c>
      <c r="S94" s="133">
        <f t="shared" ca="1" si="63"/>
        <v>49270</v>
      </c>
      <c r="T94" s="133">
        <f t="shared" ref="T94:T102" ca="1" si="64">IF(Q94&gt;0,S94*100/Q94,0)</f>
        <v>58.362947168917316</v>
      </c>
      <c r="U94" s="133">
        <f t="shared" ref="U94:U102" ca="1" si="65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6">L98+L101</f>
        <v>0</v>
      </c>
      <c r="M95" s="49">
        <f t="shared" si="66"/>
        <v>0</v>
      </c>
      <c r="N95" s="49">
        <f t="shared" si="66"/>
        <v>0</v>
      </c>
      <c r="O95" s="49">
        <f t="shared" si="61"/>
        <v>0</v>
      </c>
      <c r="P95" s="49">
        <f t="shared" si="62"/>
        <v>0</v>
      </c>
      <c r="Q95" s="49">
        <f t="shared" ref="Q95:S96" si="67">Q98+Q101</f>
        <v>0</v>
      </c>
      <c r="R95" s="49">
        <f t="shared" si="67"/>
        <v>0</v>
      </c>
      <c r="S95" s="49">
        <f t="shared" si="67"/>
        <v>0</v>
      </c>
      <c r="T95" s="49">
        <f t="shared" si="64"/>
        <v>0</v>
      </c>
      <c r="U95" s="49">
        <f t="shared" si="65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6"/>
        <v>6000</v>
      </c>
      <c r="M96" s="47">
        <f t="shared" ca="1" si="66"/>
        <v>6000</v>
      </c>
      <c r="N96" s="47">
        <f t="shared" ca="1" si="66"/>
        <v>6000</v>
      </c>
      <c r="O96" s="47">
        <f t="shared" ca="1" si="61"/>
        <v>100</v>
      </c>
      <c r="P96" s="47">
        <f t="shared" ca="1" si="62"/>
        <v>100</v>
      </c>
      <c r="Q96" s="47">
        <f t="shared" ca="1" si="67"/>
        <v>84420</v>
      </c>
      <c r="R96" s="47">
        <f t="shared" ca="1" si="67"/>
        <v>49270</v>
      </c>
      <c r="S96" s="47">
        <f t="shared" ca="1" si="67"/>
        <v>49270</v>
      </c>
      <c r="T96" s="47">
        <f t="shared" ca="1" si="64"/>
        <v>58.362947168917316</v>
      </c>
      <c r="U96" s="47">
        <f t="shared" ca="1" si="65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8">L98+L99</f>
        <v>6000</v>
      </c>
      <c r="M97" s="47">
        <f t="shared" ca="1" si="68"/>
        <v>6000</v>
      </c>
      <c r="N97" s="47">
        <f t="shared" ca="1" si="68"/>
        <v>6000</v>
      </c>
      <c r="O97" s="47">
        <f t="shared" ca="1" si="61"/>
        <v>100</v>
      </c>
      <c r="P97" s="47">
        <f t="shared" ca="1" si="62"/>
        <v>100</v>
      </c>
      <c r="Q97" s="47">
        <f t="shared" ref="Q97:S97" ca="1" si="69">Q98+Q99</f>
        <v>84420</v>
      </c>
      <c r="R97" s="47">
        <f t="shared" ca="1" si="69"/>
        <v>49270</v>
      </c>
      <c r="S97" s="47">
        <f t="shared" ca="1" si="69"/>
        <v>49270</v>
      </c>
      <c r="T97" s="47">
        <f t="shared" ca="1" si="64"/>
        <v>58.362947168917316</v>
      </c>
      <c r="U97" s="47">
        <f t="shared" ca="1" si="65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1"/>
        <v>0</v>
      </c>
      <c r="P98" s="49">
        <f t="shared" si="62"/>
        <v>0</v>
      </c>
      <c r="Q98" s="49">
        <v>0</v>
      </c>
      <c r="R98" s="49">
        <v>0</v>
      </c>
      <c r="S98" s="49">
        <v>0</v>
      </c>
      <c r="T98" s="49">
        <f t="shared" si="64"/>
        <v>0</v>
      </c>
      <c r="U98" s="49">
        <f t="shared" si="65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IFERROR(__xludf.DUMMYFUNCTION("IMPORTRANGE(""https://docs.google.com/spreadsheets/d/1-uDff_7J0KD5mKrp0Vvzr7lt3OU09vwQwhkpOPPYv2Y/edit?usp=sharing"",""งบพรบ!AW88"")"),6000)</f>
        <v>6000</v>
      </c>
      <c r="M99" s="47">
        <f ca="1">IFERROR(__xludf.DUMMYFUNCTION("IMPORTRANGE(""https://docs.google.com/spreadsheets/d/1-uDff_7J0KD5mKrp0Vvzr7lt3OU09vwQwhkpOPPYv2Y/edit?usp=sharing"",""งบพรบ!BB88"")"),6000)</f>
        <v>6000</v>
      </c>
      <c r="N99" s="47">
        <f ca="1">IFERROR(__xludf.DUMMYFUNCTION("IMPORTRANGE(""https://docs.google.com/spreadsheets/d/1-uDff_7J0KD5mKrp0Vvzr7lt3OU09vwQwhkpOPPYv2Y/edit?usp=sharing"",""งบพรบ!BD88"")"),6000)</f>
        <v>6000</v>
      </c>
      <c r="O99" s="47">
        <f t="shared" ca="1" si="61"/>
        <v>100</v>
      </c>
      <c r="P99" s="47">
        <f t="shared" ca="1" si="62"/>
        <v>100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IFERROR(__xludf.DUMMYFUNCTION("IMPORTRANGE(""https://docs.google.com/spreadsheets/d/1ItG2mGa2ceCfYo0BwxsXqNm01IGEUdYcSSLTEv9YCik/edit?usp=sharing"",""เบิกจ่ายกองทุน!AK88"")"),49270)</f>
        <v>49270</v>
      </c>
      <c r="S99" s="47">
        <f ca="1">IFERROR(__xludf.DUMMYFUNCTION("IMPORTRANGE(""https://docs.google.com/spreadsheets/d/1ItG2mGa2ceCfYo0BwxsXqNm01IGEUdYcSSLTEv9YCik/edit?usp=sharing"",""เบิกจ่ายกองทุน!AL88"")"),49270)</f>
        <v>49270</v>
      </c>
      <c r="T99" s="47">
        <f t="shared" ca="1" si="64"/>
        <v>58.362947168917316</v>
      </c>
      <c r="U99" s="47">
        <f t="shared" ca="1" si="65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0">L101+L102</f>
        <v>0</v>
      </c>
      <c r="M100" s="47">
        <f t="shared" ca="1" si="70"/>
        <v>0</v>
      </c>
      <c r="N100" s="47">
        <f t="shared" ca="1" si="70"/>
        <v>0</v>
      </c>
      <c r="O100" s="47">
        <f t="shared" ca="1" si="61"/>
        <v>0</v>
      </c>
      <c r="P100" s="47">
        <f t="shared" ca="1" si="62"/>
        <v>0</v>
      </c>
      <c r="Q100" s="47">
        <f t="shared" ref="Q100:S100" si="71">Q101+Q102</f>
        <v>0</v>
      </c>
      <c r="R100" s="47">
        <f t="shared" si="71"/>
        <v>0</v>
      </c>
      <c r="S100" s="47">
        <f t="shared" si="71"/>
        <v>0</v>
      </c>
      <c r="T100" s="47">
        <f t="shared" si="64"/>
        <v>0</v>
      </c>
      <c r="U100" s="47">
        <f t="shared" si="65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1"/>
        <v>0</v>
      </c>
      <c r="P101" s="49">
        <f t="shared" si="62"/>
        <v>0</v>
      </c>
      <c r="Q101" s="49">
        <v>0</v>
      </c>
      <c r="R101" s="49">
        <v>0</v>
      </c>
      <c r="S101" s="49">
        <v>0</v>
      </c>
      <c r="T101" s="49">
        <f t="shared" si="64"/>
        <v>0</v>
      </c>
      <c r="U101" s="49">
        <f t="shared" si="65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t="shared" ca="1" si="61"/>
        <v>0</v>
      </c>
      <c r="P102" s="47">
        <f t="shared" ca="1" si="62"/>
        <v>0</v>
      </c>
      <c r="Q102" s="47">
        <v>0</v>
      </c>
      <c r="R102" s="47">
        <v>0</v>
      </c>
      <c r="S102" s="47">
        <v>0</v>
      </c>
      <c r="T102" s="47">
        <f t="shared" si="64"/>
        <v>0</v>
      </c>
      <c r="U102" s="47">
        <f t="shared" si="65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IFERROR(__xludf.DUMMYFUNCTION("IMPORTRANGE(""https://docs.google.com/spreadsheets/d/1eHaY18a8A9IcSdp1K8H6x8fbOy06t2VsZHhMHf-1x7Y/edit?usp=sharing"",""แผน!N88"")"),30)</f>
        <v>30</v>
      </c>
      <c r="J108" s="169">
        <v>30</v>
      </c>
      <c r="K108" s="47">
        <f t="shared" ref="K108:K109" ca="1" si="72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IFERROR(__xludf.DUMMYFUNCTION("IMPORTRANGE(""https://docs.google.com/spreadsheets/d/1eHaY18a8A9IcSdp1K8H6x8fbOy06t2VsZHhMHf-1x7Y/edit?usp=sharing"",""แผน!O88"")"),10)</f>
        <v>10</v>
      </c>
      <c r="J109" s="169">
        <v>10</v>
      </c>
      <c r="K109" s="47">
        <f t="shared" ca="1" si="72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IFERROR(__xludf.DUMMYFUNCTION("IMPORTRANGE(""https://docs.google.com/spreadsheets/d/1eHaY18a8A9IcSdp1K8H6x8fbOy06t2VsZHhMHf-1x7Y/edit?usp=sharing"",""แผน!N88"")"),30)</f>
        <v>30</v>
      </c>
      <c r="J113" s="178">
        <v>30</v>
      </c>
      <c r="K113" s="179">
        <f t="shared" ref="K113:K114" ca="1" si="73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IFERROR(__xludf.DUMMYFUNCTION("IMPORTRANGE(""https://docs.google.com/spreadsheets/d/1eHaY18a8A9IcSdp1K8H6x8fbOy06t2VsZHhMHf-1x7Y/edit?usp=sharing"",""แผน!O88"")"),10)</f>
        <v>10</v>
      </c>
      <c r="J114" s="169">
        <v>10</v>
      </c>
      <c r="K114" s="47">
        <f t="shared" ca="1" si="73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50</v>
      </c>
      <c r="J116" s="128">
        <f t="shared" si="74"/>
        <v>50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284520</v>
      </c>
      <c r="R117" s="133">
        <f t="shared" ca="1" si="78"/>
        <v>284086.67</v>
      </c>
      <c r="S117" s="133">
        <f t="shared" ca="1" si="78"/>
        <v>271086.67</v>
      </c>
      <c r="T117" s="133">
        <f t="shared" ref="T117:T125" ca="1" si="79">IF(Q117&gt;0,S117*100/Q117,0)</f>
        <v>95.27859904400394</v>
      </c>
      <c r="U117" s="133">
        <f t="shared" ref="U117:U125" ca="1" si="80">IF(R117&gt;0,S117*100/R117,0)</f>
        <v>95.423931717739521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284520</v>
      </c>
      <c r="R119" s="47">
        <f t="shared" ca="1" si="82"/>
        <v>284086.67</v>
      </c>
      <c r="S119" s="47">
        <f t="shared" ca="1" si="82"/>
        <v>271086.67</v>
      </c>
      <c r="T119" s="47">
        <f t="shared" ca="1" si="79"/>
        <v>95.27859904400394</v>
      </c>
      <c r="U119" s="47">
        <f t="shared" ca="1" si="80"/>
        <v>95.423931717739521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284520</v>
      </c>
      <c r="R120" s="47">
        <f t="shared" ca="1" si="84"/>
        <v>284086.67</v>
      </c>
      <c r="S120" s="47">
        <f t="shared" ca="1" si="84"/>
        <v>271086.67</v>
      </c>
      <c r="T120" s="47">
        <f t="shared" ca="1" si="79"/>
        <v>95.27859904400394</v>
      </c>
      <c r="U120" s="47">
        <f t="shared" ca="1" si="80"/>
        <v>95.423931717739521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IFERROR(__xludf.DUMMYFUNCTION("IMPORTRANGE(""https://docs.google.com/spreadsheets/d/1ItG2mGa2ceCfYo0BwxsXqNm01IGEUdYcSSLTEv9YCik/edit?usp=sharing"",""เบิกจ่ายกองทุน!V88"")"),284086.67)</f>
        <v>284086.67</v>
      </c>
      <c r="S122" s="47">
        <f ca="1">IFERROR(__xludf.DUMMYFUNCTION("IMPORTRANGE(""https://docs.google.com/spreadsheets/d/1ItG2mGa2ceCfYo0BwxsXqNm01IGEUdYcSSLTEv9YCik/edit?usp=sharing"",""เบิกจ่ายกองทุน!W88"")"),271086.67)</f>
        <v>271086.67</v>
      </c>
      <c r="T122" s="47">
        <f t="shared" ca="1" si="79"/>
        <v>95.27859904400394</v>
      </c>
      <c r="U122" s="47">
        <f t="shared" ca="1" si="80"/>
        <v>95.423931717739521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IFERROR(__xludf.DUMMYFUNCTION("IMPORTRANGE(""https://docs.google.com/spreadsheets/d/1eHaY18a8A9IcSdp1K8H6x8fbOy06t2VsZHhMHf-1x7Y/edit?usp=sharing"",""แผน!FF88"")"),50)</f>
        <v>50</v>
      </c>
      <c r="J127" s="169">
        <v>50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IFERROR(__xludf.DUMMYFUNCTION("IMPORTRANGE(""https://docs.google.com/spreadsheets/d/1eHaY18a8A9IcSdp1K8H6x8fbOy06t2VsZHhMHf-1x7Y/edit?usp=sharing"",""แผน!FG88"")"),2)</f>
        <v>2</v>
      </c>
      <c r="J128" s="169">
        <v>2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IFERROR(__xludf.DUMMYFUNCTION("IMPORTRANGE(""https://docs.google.com/spreadsheets/d/1eHaY18a8A9IcSdp1K8H6x8fbOy06t2VsZHhMHf-1x7Y/edit?usp=sharing"",""แผน!FH88"")"),20)</f>
        <v>20</v>
      </c>
      <c r="J129" s="169">
        <v>20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IFERROR(__xludf.DUMMYFUNCTION("IMPORTRANGE(""https://docs.google.com/spreadsheets/d/1eHaY18a8A9IcSdp1K8H6x8fbOy06t2VsZHhMHf-1x7Y/edit?usp=sharing"",""แผน!FI88"")"),1)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20</v>
      </c>
      <c r="J137" s="128">
        <f t="shared" si="90"/>
        <v>20</v>
      </c>
      <c r="K137" s="35">
        <f t="shared" ca="1" si="89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2</v>
      </c>
      <c r="J138" s="128">
        <f t="shared" si="90"/>
        <v>2</v>
      </c>
      <c r="K138" s="35">
        <f t="shared" ca="1" si="89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31600</v>
      </c>
      <c r="M139" s="133">
        <f t="shared" ca="1" si="91"/>
        <v>26600</v>
      </c>
      <c r="N139" s="133">
        <f t="shared" ca="1" si="91"/>
        <v>26600</v>
      </c>
      <c r="O139" s="133">
        <f t="shared" ref="O139:O147" ca="1" si="92">IF(L139&gt;0,N139*100/L139,0)</f>
        <v>84.177215189873422</v>
      </c>
      <c r="P139" s="133">
        <f t="shared" ref="P139:P147" ca="1" si="93">IF(M139&gt;0,N139*100/M139,0)</f>
        <v>100</v>
      </c>
      <c r="Q139" s="133">
        <f t="shared" ref="Q139:S139" ca="1" si="94">Q140+Q141</f>
        <v>39860</v>
      </c>
      <c r="R139" s="133">
        <f t="shared" ca="1" si="94"/>
        <v>19860</v>
      </c>
      <c r="S139" s="133">
        <f t="shared" ca="1" si="94"/>
        <v>19860</v>
      </c>
      <c r="T139" s="133">
        <f t="shared" ref="T139:T147" ca="1" si="95">IF(Q139&gt;0,S139*100/Q139,0)</f>
        <v>49.824385348720519</v>
      </c>
      <c r="U139" s="133">
        <f t="shared" ref="U139:U147" ca="1" si="96">IF(R139&gt;0,S139*100/R139,0)</f>
        <v>100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31600</v>
      </c>
      <c r="M141" s="47">
        <f t="shared" ca="1" si="97"/>
        <v>26600</v>
      </c>
      <c r="N141" s="47">
        <f t="shared" ca="1" si="97"/>
        <v>26600</v>
      </c>
      <c r="O141" s="47">
        <f t="shared" ca="1" si="92"/>
        <v>84.177215189873422</v>
      </c>
      <c r="P141" s="47">
        <f t="shared" ca="1" si="93"/>
        <v>100</v>
      </c>
      <c r="Q141" s="47">
        <f t="shared" ca="1" si="98"/>
        <v>39860</v>
      </c>
      <c r="R141" s="47">
        <f t="shared" ca="1" si="98"/>
        <v>19860</v>
      </c>
      <c r="S141" s="47">
        <f t="shared" ca="1" si="98"/>
        <v>19860</v>
      </c>
      <c r="T141" s="47">
        <f t="shared" ca="1" si="95"/>
        <v>49.824385348720519</v>
      </c>
      <c r="U141" s="47">
        <f t="shared" ca="1" si="96"/>
        <v>100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31600</v>
      </c>
      <c r="M142" s="47">
        <f t="shared" ca="1" si="99"/>
        <v>26600</v>
      </c>
      <c r="N142" s="47">
        <f t="shared" ca="1" si="99"/>
        <v>26600</v>
      </c>
      <c r="O142" s="47">
        <f t="shared" ca="1" si="92"/>
        <v>84.177215189873422</v>
      </c>
      <c r="P142" s="47">
        <f t="shared" ca="1" si="93"/>
        <v>100</v>
      </c>
      <c r="Q142" s="47">
        <f t="shared" ref="Q142:S142" ca="1" si="100">Q143+Q144</f>
        <v>39860</v>
      </c>
      <c r="R142" s="47">
        <f t="shared" ca="1" si="100"/>
        <v>19860</v>
      </c>
      <c r="S142" s="47">
        <f t="shared" ca="1" si="100"/>
        <v>19860</v>
      </c>
      <c r="T142" s="47">
        <f t="shared" ca="1" si="95"/>
        <v>49.824385348720519</v>
      </c>
      <c r="U142" s="47">
        <f t="shared" ca="1" si="96"/>
        <v>100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IFERROR(__xludf.DUMMYFUNCTION("IMPORTRANGE(""https://docs.google.com/spreadsheets/d/1-uDff_7J0KD5mKrp0Vvzr7lt3OU09vwQwhkpOPPYv2Y/edit?usp=sharing"",""งบพรบ!BX88"")"),26600)</f>
        <v>26600</v>
      </c>
      <c r="O144" s="47">
        <f t="shared" ca="1" si="92"/>
        <v>84.177215189873422</v>
      </c>
      <c r="P144" s="47">
        <f t="shared" ca="1" si="93"/>
        <v>100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IFERROR(__xludf.DUMMYFUNCTION("IMPORTRANGE(""https://docs.google.com/spreadsheets/d/1ItG2mGa2ceCfYo0BwxsXqNm01IGEUdYcSSLTEv9YCik/edit?usp=sharing"",""เบิกจ่ายกองทุน!CG88"")"),19860)</f>
        <v>19860</v>
      </c>
      <c r="S144" s="47">
        <f ca="1">IFERROR(__xludf.DUMMYFUNCTION("IMPORTRANGE(""https://docs.google.com/spreadsheets/d/1ItG2mGa2ceCfYo0BwxsXqNm01IGEUdYcSSLTEv9YCik/edit?usp=sharing"",""เบิกจ่ายกองทุน!CH88"")"),19860)</f>
        <v>19860</v>
      </c>
      <c r="T144" s="47">
        <f t="shared" ca="1" si="95"/>
        <v>49.824385348720519</v>
      </c>
      <c r="U144" s="47">
        <f t="shared" ca="1" si="96"/>
        <v>100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t="shared" ca="1" si="95"/>
        <v>0</v>
      </c>
      <c r="U147" s="47">
        <f t="shared" ca="1" si="96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IFERROR(__xludf.DUMMYFUNCTION("IMPORTRANGE(""https://docs.google.com/spreadsheets/d/1eHaY18a8A9IcSdp1K8H6x8fbOy06t2VsZHhMHf-1x7Y/edit?usp=sharing"",""แผน!U88"")"),0)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IFERROR(__xludf.DUMMYFUNCTION("IMPORTRANGE(""https://docs.google.com/spreadsheets/d/1eHaY18a8A9IcSdp1K8H6x8fbOy06t2VsZHhMHf-1x7Y/edit?usp=sharing"",""แผน!V88"")"),0)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IFERROR(__xludf.DUMMYFUNCTION("IMPORTRANGE(""https://docs.google.com/spreadsheets/d/1eHaY18a8A9IcSdp1K8H6x8fbOy06t2VsZHhMHf-1x7Y/edit?usp=sharing"",""แผน!W88"")"),20)</f>
        <v>20</v>
      </c>
      <c r="J152" s="169">
        <v>20</v>
      </c>
      <c r="K152" s="47">
        <f t="shared" ca="1" si="103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IFERROR(__xludf.DUMMYFUNCTION("IMPORTRANGE(""https://docs.google.com/spreadsheets/d/1eHaY18a8A9IcSdp1K8H6x8fbOy06t2VsZHhMHf-1x7Y/edit?usp=sharing"",""แผน!X88"")"),2)</f>
        <v>2</v>
      </c>
      <c r="J153" s="169">
        <v>2</v>
      </c>
      <c r="K153" s="47">
        <f t="shared" ca="1" si="103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IFERROR(__xludf.DUMMYFUNCTION("IMPORTRANGE(""https://docs.google.com/spreadsheets/d/1eHaY18a8A9IcSdp1K8H6x8fbOy06t2VsZHhMHf-1x7Y/edit?usp=sharing"",""แผน!Y88"")"),0)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I167</f>
        <v>15</v>
      </c>
      <c r="J156" s="128">
        <f t="shared" si="104"/>
        <v>15</v>
      </c>
      <c r="K156" s="35">
        <f ca="1">IF(I156&gt;0,J156*100/I156,0)</f>
        <v>100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9"/>
      <c r="B157" s="200"/>
      <c r="C157" s="40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4500</v>
      </c>
      <c r="M157" s="133">
        <f t="shared" ca="1" si="105"/>
        <v>2250</v>
      </c>
      <c r="N157" s="133">
        <f t="shared" ca="1" si="105"/>
        <v>2250</v>
      </c>
      <c r="O157" s="133">
        <f t="shared" ref="O157:O165" ca="1" si="106">IF(L157&gt;0,N157*100/L157,0)</f>
        <v>50</v>
      </c>
      <c r="P157" s="133">
        <f t="shared" ref="P157:P165" ca="1" si="107">IF(M157&gt;0,N157*100/M157,0)</f>
        <v>100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4500</v>
      </c>
      <c r="M159" s="47">
        <f t="shared" ca="1" si="111"/>
        <v>2250</v>
      </c>
      <c r="N159" s="47">
        <f t="shared" ca="1" si="111"/>
        <v>2250</v>
      </c>
      <c r="O159" s="47">
        <f t="shared" ca="1" si="106"/>
        <v>50</v>
      </c>
      <c r="P159" s="47">
        <f t="shared" ca="1" si="107"/>
        <v>100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4500</v>
      </c>
      <c r="M160" s="47">
        <f t="shared" ca="1" si="113"/>
        <v>2250</v>
      </c>
      <c r="N160" s="47">
        <f t="shared" ca="1" si="113"/>
        <v>2250</v>
      </c>
      <c r="O160" s="47">
        <f t="shared" ca="1" si="106"/>
        <v>50</v>
      </c>
      <c r="P160" s="47">
        <f t="shared" ca="1" si="107"/>
        <v>100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IFERROR(__xludf.DUMMYFUNCTION("IMPORTRANGE(""https://docs.google.com/spreadsheets/d/1-uDff_7J0KD5mKrp0Vvzr7lt3OU09vwQwhkpOPPYv2Y/edit?usp=sharing"",""งบพรบ!CF88"")"),2250)</f>
        <v>2250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t="shared" ca="1" si="106"/>
        <v>50</v>
      </c>
      <c r="P162" s="47">
        <f t="shared" ca="1" si="107"/>
        <v>100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x14ac:dyDescent="0.3">
      <c r="A166" s="139"/>
      <c r="B166" s="140"/>
      <c r="C166" s="40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IFERROR(__xludf.DUMMYFUNCTION("IMPORTRANGE(""https://docs.google.com/spreadsheets/d/1eHaY18a8A9IcSdp1K8H6x8fbOy06t2VsZHhMHf-1x7Y/edit?usp=sharing"",""แผน!Z88"")"),15)</f>
        <v>15</v>
      </c>
      <c r="J167" s="169">
        <v>15</v>
      </c>
      <c r="K167" s="47">
        <f t="shared" ref="K167:K169" ca="1" si="117">IF(I167&gt;0,J167*100/I167,0)</f>
        <v>100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I167</f>
        <v>15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I167</f>
        <v>15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15</v>
      </c>
      <c r="J172" s="222">
        <f t="shared" si="118"/>
        <v>15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35640</v>
      </c>
      <c r="N173" s="133">
        <f t="shared" ca="1" si="119"/>
        <v>35640</v>
      </c>
      <c r="O173" s="133">
        <f t="shared" ref="O173:O181" ca="1" si="120">IF(L173&gt;0,N173*100/L173,0)</f>
        <v>181.92955589586524</v>
      </c>
      <c r="P173" s="133">
        <f t="shared" ref="P173:P181" ca="1" si="121">IF(M173&gt;0,N173*100/M173,0)</f>
        <v>100</v>
      </c>
      <c r="Q173" s="133">
        <f t="shared" ref="Q173:S173" ca="1" si="122">Q174+Q175</f>
        <v>21200</v>
      </c>
      <c r="R173" s="133">
        <f t="shared" ca="1" si="122"/>
        <v>21200</v>
      </c>
      <c r="S173" s="133">
        <f t="shared" ca="1" si="122"/>
        <v>21200</v>
      </c>
      <c r="T173" s="133">
        <f t="shared" ref="T173:T181" ca="1" si="123">IF(Q173&gt;0,S173*100/Q173,0)</f>
        <v>100</v>
      </c>
      <c r="U173" s="133">
        <f t="shared" ref="U173:U181" ca="1" si="124">IF(R173&gt;0,S173*100/R173,0)</f>
        <v>100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35640</v>
      </c>
      <c r="N175" s="47">
        <f t="shared" ca="1" si="125"/>
        <v>35640</v>
      </c>
      <c r="O175" s="47">
        <f t="shared" ca="1" si="120"/>
        <v>181.92955589586524</v>
      </c>
      <c r="P175" s="47">
        <f t="shared" ca="1" si="121"/>
        <v>100</v>
      </c>
      <c r="Q175" s="47">
        <f t="shared" ca="1" si="126"/>
        <v>21200</v>
      </c>
      <c r="R175" s="47">
        <f t="shared" ca="1" si="126"/>
        <v>21200</v>
      </c>
      <c r="S175" s="47">
        <f t="shared" ca="1" si="126"/>
        <v>21200</v>
      </c>
      <c r="T175" s="47">
        <f t="shared" ca="1" si="123"/>
        <v>100</v>
      </c>
      <c r="U175" s="47">
        <f t="shared" ca="1" si="124"/>
        <v>100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35640</v>
      </c>
      <c r="N176" s="47">
        <f t="shared" ca="1" si="127"/>
        <v>35640</v>
      </c>
      <c r="O176" s="47">
        <f t="shared" ca="1" si="120"/>
        <v>181.92955589586524</v>
      </c>
      <c r="P176" s="47">
        <f t="shared" ca="1" si="121"/>
        <v>100</v>
      </c>
      <c r="Q176" s="47">
        <f t="shared" ref="Q176:S176" ca="1" si="128">Q177+Q178</f>
        <v>21200</v>
      </c>
      <c r="R176" s="47">
        <f t="shared" ca="1" si="128"/>
        <v>21200</v>
      </c>
      <c r="S176" s="47">
        <f t="shared" ca="1" si="128"/>
        <v>21200</v>
      </c>
      <c r="T176" s="47">
        <f t="shared" ca="1" si="123"/>
        <v>100</v>
      </c>
      <c r="U176" s="47">
        <f t="shared" ca="1" si="124"/>
        <v>100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t="shared" ca="1" si="120"/>
        <v>181.92955589586524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IFERROR(__xludf.DUMMYFUNCTION("IMPORTRANGE(""https://docs.google.com/spreadsheets/d/1ItG2mGa2ceCfYo0BwxsXqNm01IGEUdYcSSLTEv9YCik/edit?usp=sharing"",""เบิกจ่ายกองทุน!DG88"")"),21200)</f>
        <v>21200</v>
      </c>
      <c r="R178" s="47">
        <f ca="1">IFERROR(__xludf.DUMMYFUNCTION("IMPORTRANGE(""https://docs.google.com/spreadsheets/d/1ItG2mGa2ceCfYo0BwxsXqNm01IGEUdYcSSLTEv9YCik/edit?usp=sharing"",""เบิกจ่ายกองทุน!DH88"")"),21200)</f>
        <v>21200</v>
      </c>
      <c r="S178" s="47">
        <f ca="1">IFERROR(__xludf.DUMMYFUNCTION("IMPORTRANGE(""https://docs.google.com/spreadsheets/d/1ItG2mGa2ceCfYo0BwxsXqNm01IGEUdYcSSLTEv9YCik/edit?usp=sharing"",""เบิกจ่ายกองทุน!DI88"")"),21200)</f>
        <v>21200</v>
      </c>
      <c r="T178" s="47">
        <f t="shared" ca="1" si="123"/>
        <v>100</v>
      </c>
      <c r="U178" s="47">
        <f t="shared" ca="1" si="124"/>
        <v>100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IFERROR(__xludf.DUMMYFUNCTION("IMPORTRANGE(""https://docs.google.com/spreadsheets/d/1eHaY18a8A9IcSdp1K8H6x8fbOy06t2VsZHhMHf-1x7Y/edit?usp=sharing"",""แผน!AA88"")"),15)</f>
        <v>15</v>
      </c>
      <c r="J183" s="169">
        <v>15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217500</v>
      </c>
      <c r="M186" s="133">
        <f t="shared" ca="1" si="133"/>
        <v>267965</v>
      </c>
      <c r="N186" s="133">
        <f t="shared" ca="1" si="133"/>
        <v>267965</v>
      </c>
      <c r="O186" s="133">
        <f t="shared" ref="O186:O194" ca="1" si="134">IF(L186&gt;0,N186*100/L186,0)</f>
        <v>123.20229885057471</v>
      </c>
      <c r="P186" s="133">
        <f t="shared" ref="P186:P194" ca="1" si="135">IF(M186&gt;0,N186*100/M186,0)</f>
        <v>100</v>
      </c>
      <c r="Q186" s="133">
        <f t="shared" ref="Q186:S186" ca="1" si="136">Q187+Q188</f>
        <v>56000</v>
      </c>
      <c r="R186" s="133">
        <f t="shared" ca="1" si="136"/>
        <v>56000</v>
      </c>
      <c r="S186" s="133">
        <f t="shared" ca="1" si="136"/>
        <v>56000</v>
      </c>
      <c r="T186" s="133">
        <f t="shared" ref="T186:T194" ca="1" si="137">IF(Q186&gt;0,S186*100/Q186,0)</f>
        <v>100</v>
      </c>
      <c r="U186" s="133">
        <f t="shared" ref="U186:U194" ca="1" si="138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217500</v>
      </c>
      <c r="M188" s="47">
        <f t="shared" ca="1" si="139"/>
        <v>267965</v>
      </c>
      <c r="N188" s="47">
        <f t="shared" ca="1" si="139"/>
        <v>267965</v>
      </c>
      <c r="O188" s="47">
        <f t="shared" ca="1" si="134"/>
        <v>123.20229885057471</v>
      </c>
      <c r="P188" s="47">
        <f t="shared" ca="1" si="135"/>
        <v>100</v>
      </c>
      <c r="Q188" s="47">
        <f t="shared" ca="1" si="140"/>
        <v>56000</v>
      </c>
      <c r="R188" s="47">
        <f t="shared" ca="1" si="140"/>
        <v>56000</v>
      </c>
      <c r="S188" s="47">
        <f t="shared" ca="1" si="140"/>
        <v>56000</v>
      </c>
      <c r="T188" s="47">
        <f t="shared" ca="1" si="137"/>
        <v>100</v>
      </c>
      <c r="U188" s="47">
        <f t="shared" ca="1" si="138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217500</v>
      </c>
      <c r="M189" s="47">
        <f t="shared" ca="1" si="141"/>
        <v>267965</v>
      </c>
      <c r="N189" s="47">
        <f t="shared" ca="1" si="141"/>
        <v>267965</v>
      </c>
      <c r="O189" s="47">
        <f t="shared" ca="1" si="134"/>
        <v>123.20229885057471</v>
      </c>
      <c r="P189" s="47">
        <f t="shared" ca="1" si="135"/>
        <v>100</v>
      </c>
      <c r="Q189" s="47">
        <f t="shared" ref="Q189:S189" ca="1" si="142">Q190+Q191</f>
        <v>56000</v>
      </c>
      <c r="R189" s="47">
        <f t="shared" ca="1" si="142"/>
        <v>56000</v>
      </c>
      <c r="S189" s="47">
        <f t="shared" ca="1" si="142"/>
        <v>56000</v>
      </c>
      <c r="T189" s="47">
        <f t="shared" ca="1" si="137"/>
        <v>100</v>
      </c>
      <c r="U189" s="47">
        <f t="shared" ca="1" si="138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IFERROR(__xludf.DUMMYFUNCTION("IMPORTRANGE(""https://docs.google.com/spreadsheets/d/1-uDff_7J0KD5mKrp0Vvzr7lt3OU09vwQwhkpOPPYv2Y/edit?usp=sharing"",""งบพรบ!CZ88"")"),267965)</f>
        <v>267965</v>
      </c>
      <c r="N191" s="47">
        <f ca="1">IFERROR(__xludf.DUMMYFUNCTION("IMPORTRANGE(""https://docs.google.com/spreadsheets/d/1-uDff_7J0KD5mKrp0Vvzr7lt3OU09vwQwhkpOPPYv2Y/edit?usp=sharing"",""งบพรบ!DB88"")"),267965)</f>
        <v>267965</v>
      </c>
      <c r="O191" s="47">
        <f t="shared" ca="1" si="134"/>
        <v>123.20229885057471</v>
      </c>
      <c r="P191" s="47">
        <f t="shared" ca="1" si="135"/>
        <v>100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IFERROR(__xludf.DUMMYFUNCTION("IMPORTRANGE(""https://docs.google.com/spreadsheets/d/1ItG2mGa2ceCfYo0BwxsXqNm01IGEUdYcSSLTEv9YCik/edit?usp=sharing"",""เบิกจ่ายกองทุน!BS88"")"),56000)</f>
        <v>56000</v>
      </c>
      <c r="T191" s="47">
        <f t="shared" ca="1" si="137"/>
        <v>100</v>
      </c>
      <c r="U191" s="47">
        <f t="shared" ca="1" si="138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636">
        <v>49265</v>
      </c>
      <c r="O196" s="133">
        <f ca="1">IF(L196&gt;0,N196*100/L196,0)</f>
        <v>821.08333333333337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IFERROR(__xludf.DUMMYFUNCTION("IMPORTRANGE(""https://docs.google.com/spreadsheets/d/1eHaY18a8A9IcSdp1K8H6x8fbOy06t2VsZHhMHf-1x7Y/edit?usp=sharing"",""แผน!AE88"")"),4)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301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301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4</v>
      </c>
      <c r="J202" s="236">
        <f t="shared" si="146"/>
        <v>4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25000</v>
      </c>
      <c r="M203" s="46"/>
      <c r="N203" s="133">
        <f>N204+N205+N206+N207</f>
        <v>25000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56000</v>
      </c>
      <c r="R203" s="180"/>
      <c r="S203" s="638">
        <f>S204+S205+S206+S207</f>
        <v>56000</v>
      </c>
      <c r="T203" s="638">
        <f ca="1">IF(Q203&gt;0,S203*100/Q203,0)</f>
        <v>100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IFERROR(__xludf.DUMMYFUNCTION("IMPORTRANGE(""https://docs.google.com/spreadsheets/d/1eHaY18a8A9IcSdp1K8H6x8fbOy06t2VsZHhMHf-1x7Y/edit?usp=sharing"",""แผน!AG88"")"),4000)</f>
        <v>4000</v>
      </c>
      <c r="M204" s="46"/>
      <c r="N204" s="639">
        <v>4000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IFERROR(__xludf.DUMMYFUNCTION("IMPORTRANGE(""https://docs.google.com/spreadsheets/d/1eHaY18a8A9IcSdp1K8H6x8fbOy06t2VsZHhMHf-1x7Y/edit?usp=sharing"",""แผน!AH88"")"),0)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IFERROR(__xludf.DUMMYFUNCTION("IMPORTRANGE(""https://docs.google.com/spreadsheets/d/1eHaY18a8A9IcSdp1K8H6x8fbOy06t2VsZHhMHf-1x7Y/edit?usp=sharing"",""แผน!AI88"")"),0)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639">
        <v>56000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IFERROR(__xludf.DUMMYFUNCTION("IMPORTRANGE(""https://docs.google.com/spreadsheets/d/1eHaY18a8A9IcSdp1K8H6x8fbOy06t2VsZHhMHf-1x7Y/edit?usp=sharing"",""แผน!AJ88"")"),21000)</f>
        <v>21000</v>
      </c>
      <c r="M207" s="46"/>
      <c r="N207" s="639">
        <v>21000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IFERROR(__xludf.DUMMYFUNCTION("IMPORTRANGE(""https://docs.google.com/spreadsheets/d/1eHaY18a8A9IcSdp1K8H6x8fbOy06t2VsZHhMHf-1x7Y/edit?usp=sharing"",""แผน!AK88"")"),4)</f>
        <v>4</v>
      </c>
      <c r="J209" s="169">
        <v>4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IFERROR(__xludf.DUMMYFUNCTION("IMPORTRANGE(""https://docs.google.com/spreadsheets/d/1eHaY18a8A9IcSdp1K8H6x8fbOy06t2VsZHhMHf-1x7Y/edit?usp=sharing"",""แผน!JX88"")"),4)</f>
        <v>4</v>
      </c>
      <c r="J211" s="169">
        <v>4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IFERROR(__xludf.DUMMYFUNCTION("IMPORTRANGE(""https://docs.google.com/spreadsheets/d/1eHaY18a8A9IcSdp1K8H6x8fbOy06t2VsZHhMHf-1x7Y/edit?usp=sharing"",""แผน!JY88"")"),1)</f>
        <v>1</v>
      </c>
      <c r="J212" s="169">
        <v>1</v>
      </c>
      <c r="K212" s="154">
        <f t="shared" ca="1" si="147"/>
        <v>100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IFERROR(__xludf.DUMMYFUNCTION("IMPORTRANGE(""https://docs.google.com/spreadsheets/d/1eHaY18a8A9IcSdp1K8H6x8fbOy06t2VsZHhMHf-1x7Y/edit?usp=sharing"",""แผน!AM88"")"),0)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IFERROR(__xludf.DUMMYFUNCTION("IMPORTRANGE(""https://docs.google.com/spreadsheets/d/1eHaY18a8A9IcSdp1K8H6x8fbOy06t2VsZHhMHf-1x7Y/edit?usp=sharing"",""แผน!AN88"")"),0)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IFERROR(__xludf.DUMMYFUNCTION("IMPORTRANGE(""https://docs.google.com/spreadsheets/d/1eHaY18a8A9IcSdp1K8H6x8fbOy06t2VsZHhMHf-1x7Y/edit?usp=sharing"",""แผน!AO88"")"),0)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IFERROR(__xludf.DUMMYFUNCTION("IMPORTRANGE(""https://docs.google.com/spreadsheets/d/1eHaY18a8A9IcSdp1K8H6x8fbOy06t2VsZHhMHf-1x7Y/edit?usp=sharing"",""แผน!LY88"")"),0)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IFERROR(__xludf.DUMMYFUNCTION("IMPORTRANGE(""https://docs.google.com/spreadsheets/d/1eHaY18a8A9IcSdp1K8H6x8fbOy06t2VsZHhMHf-1x7Y/edit?usp=sharing"",""แผน!AP88"")"),0)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IFERROR(__xludf.DUMMYFUNCTION("IMPORTRANGE(""https://docs.google.com/spreadsheets/d/1eHaY18a8A9IcSdp1K8H6x8fbOy06t2VsZHhMHf-1x7Y/edit?usp=sharing"",""แผน!AP88"")"),0)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10000</v>
      </c>
      <c r="J221" s="236">
        <f t="shared" si="150"/>
        <v>10000</v>
      </c>
      <c r="K221" s="237">
        <f t="shared" ca="1" si="149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IFERROR(__xludf.DUMMYFUNCTION("IMPORTRANGE(""https://docs.google.com/spreadsheets/d/1eHaY18a8A9IcSdp1K8H6x8fbOy06t2VsZHhMHf-1x7Y/edit?usp=sharing"",""แผน!AR88"")"),2500)</f>
        <v>2500</v>
      </c>
      <c r="M223" s="46"/>
      <c r="N223" s="639">
        <v>2500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IFERROR(__xludf.DUMMYFUNCTION("IMPORTRANGE(""https://docs.google.com/spreadsheets/d/1eHaY18a8A9IcSdp1K8H6x8fbOy06t2VsZHhMHf-1x7Y/edit?usp=sharing"",""แผน!AS88"")"),2000)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IFERROR(__xludf.DUMMYFUNCTION("IMPORTRANGE(""https://docs.google.com/spreadsheets/d/1eHaY18a8A9IcSdp1K8H6x8fbOy06t2VsZHhMHf-1x7Y/edit?usp=sharing"",""แผน!AT88"")"),0)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IFERROR(__xludf.DUMMYFUNCTION("IMPORTRANGE(""https://docs.google.com/spreadsheets/d/1eHaY18a8A9IcSdp1K8H6x8fbOy06t2VsZHhMHf-1x7Y/edit?usp=sharing"",""แผน!AV88"")"),10000)</f>
        <v>10000</v>
      </c>
      <c r="J228" s="169">
        <v>10000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IFERROR(__xludf.DUMMYFUNCTION("IMPORTRANGE(""https://docs.google.com/spreadsheets/d/1eHaY18a8A9IcSdp1K8H6x8fbOy06t2VsZHhMHf-1x7Y/edit?usp=sharing"",""แผน!AV88"")"),10000)</f>
        <v>10000</v>
      </c>
      <c r="J229" s="169">
        <v>10000</v>
      </c>
      <c r="K229" s="154">
        <f t="shared" ca="1" si="151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IFERROR(__xludf.DUMMYFUNCTION("IMPORTRANGE(""https://docs.google.com/spreadsheets/d/1eHaY18a8A9IcSdp1K8H6x8fbOy06t2VsZHhMHf-1x7Y/edit?usp=sharing"",""แผน!AU88"")"),0)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30"/>
      <c r="B231" s="231"/>
      <c r="C231" s="232" t="s">
        <v>105</v>
      </c>
      <c r="D231" s="233"/>
      <c r="E231" s="233"/>
      <c r="F231" s="233"/>
      <c r="G231" s="234"/>
      <c r="H231" s="235" t="s">
        <v>35</v>
      </c>
      <c r="I231" s="236">
        <f t="shared" ref="I231:J231" ca="1" si="152">I242+I253</f>
        <v>0</v>
      </c>
      <c r="J231" s="236">
        <f t="shared" si="152"/>
        <v>0</v>
      </c>
      <c r="K231" s="23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129"/>
      <c r="B232" s="200"/>
      <c r="C232" s="199" t="s">
        <v>18</v>
      </c>
      <c r="D232" s="616" t="s">
        <v>19</v>
      </c>
      <c r="E232" s="200"/>
      <c r="F232" s="200"/>
      <c r="G232" s="43"/>
      <c r="H232" s="240" t="s">
        <v>14</v>
      </c>
      <c r="I232" s="136"/>
      <c r="J232" s="136"/>
      <c r="K232" s="137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129"/>
      <c r="B233" s="160"/>
      <c r="C233" s="200"/>
      <c r="D233" s="271" t="s">
        <v>86</v>
      </c>
      <c r="E233" s="200"/>
      <c r="F233" s="200"/>
      <c r="G233" s="43"/>
      <c r="H233" s="135" t="s">
        <v>14</v>
      </c>
      <c r="I233" s="136"/>
      <c r="J233" s="136"/>
      <c r="K233" s="137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225"/>
      <c r="B234" s="160"/>
      <c r="C234" s="160"/>
      <c r="D234" s="271" t="s">
        <v>88</v>
      </c>
      <c r="E234" s="200"/>
      <c r="F234" s="200"/>
      <c r="G234" s="43"/>
      <c r="H234" s="135" t="s">
        <v>14</v>
      </c>
      <c r="I234" s="45"/>
      <c r="J234" s="45"/>
      <c r="K234" s="46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25"/>
      <c r="B235" s="160"/>
      <c r="C235" s="160"/>
      <c r="D235" s="271" t="s">
        <v>106</v>
      </c>
      <c r="E235" s="200"/>
      <c r="F235" s="200"/>
      <c r="G235" s="43"/>
      <c r="H235" s="135" t="s">
        <v>14</v>
      </c>
      <c r="I235" s="45"/>
      <c r="J235" s="45"/>
      <c r="K235" s="46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25"/>
      <c r="B236" s="160"/>
      <c r="C236" s="160"/>
      <c r="D236" s="271" t="s">
        <v>107</v>
      </c>
      <c r="E236" s="200"/>
      <c r="F236" s="200"/>
      <c r="G236" s="43"/>
      <c r="H236" s="135" t="s">
        <v>14</v>
      </c>
      <c r="I236" s="45"/>
      <c r="J236" s="45"/>
      <c r="K236" s="46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9"/>
      <c r="B237" s="140"/>
      <c r="C237" s="367" t="s">
        <v>18</v>
      </c>
      <c r="D237" s="618" t="s">
        <v>38</v>
      </c>
      <c r="E237" s="142"/>
      <c r="F237" s="142"/>
      <c r="G237" s="143"/>
      <c r="H237" s="144"/>
      <c r="I237" s="136"/>
      <c r="J237" s="45"/>
      <c r="K237" s="46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139"/>
      <c r="B238" s="140"/>
      <c r="C238" s="140"/>
      <c r="D238" s="303" t="s">
        <v>108</v>
      </c>
      <c r="E238" s="170"/>
      <c r="F238" s="170"/>
      <c r="G238" s="144"/>
      <c r="H238" s="248" t="s">
        <v>35</v>
      </c>
      <c r="I238" s="372">
        <f t="shared" ref="I238:J238" ca="1" si="155">I249+I260</f>
        <v>0</v>
      </c>
      <c r="J238" s="372">
        <f t="shared" si="155"/>
        <v>0</v>
      </c>
      <c r="K238" s="47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9"/>
      <c r="B239" s="140"/>
      <c r="C239" s="140"/>
      <c r="D239" s="257" t="s">
        <v>43</v>
      </c>
      <c r="E239" s="170"/>
      <c r="F239" s="170"/>
      <c r="G239" s="144"/>
      <c r="H239" s="144"/>
      <c r="I239" s="45"/>
      <c r="J239" s="45"/>
      <c r="K239" s="46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139"/>
      <c r="B240" s="140"/>
      <c r="C240" s="140"/>
      <c r="D240" s="140"/>
      <c r="E240" s="145" t="s">
        <v>109</v>
      </c>
      <c r="F240" s="170"/>
      <c r="G240" s="144"/>
      <c r="H240" s="248" t="s">
        <v>35</v>
      </c>
      <c r="I240" s="372">
        <f t="shared" ref="I240:J241" si="156">I251+I262</f>
        <v>0</v>
      </c>
      <c r="J240" s="372">
        <f t="shared" si="156"/>
        <v>0</v>
      </c>
      <c r="K240" s="47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9"/>
      <c r="B241" s="140"/>
      <c r="C241" s="140"/>
      <c r="D241" s="140"/>
      <c r="E241" s="145" t="s">
        <v>110</v>
      </c>
      <c r="F241" s="170"/>
      <c r="G241" s="144"/>
      <c r="H241" s="248" t="s">
        <v>61</v>
      </c>
      <c r="I241" s="372">
        <f t="shared" si="156"/>
        <v>0</v>
      </c>
      <c r="J241" s="372">
        <f t="shared" si="156"/>
        <v>0</v>
      </c>
      <c r="K241" s="47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IFERROR(__xludf.DUMMYFUNCTION("IMPORTRANGE(""https://docs.google.com/spreadsheets/d/1eHaY18a8A9IcSdp1K8H6x8fbOy06t2VsZHhMHf-1x7Y/edit?usp=sharing"",""แผน!AX88"")"),0)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IFERROR(__xludf.DUMMYFUNCTION("IMPORTRANGE(""https://docs.google.com/spreadsheets/d/1eHaY18a8A9IcSdp1K8H6x8fbOy06t2VsZHhMHf-1x7Y/edit?usp=sharing"",""แผน!AY88"")"),0)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IFERROR(__xludf.DUMMYFUNCTION("IMPORTRANGE(""https://docs.google.com/spreadsheets/d/1eHaY18a8A9IcSdp1K8H6x8fbOy06t2VsZHhMHf-1x7Y/edit?usp=sharing"",""แผน!AZ88"")"),0)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IFERROR(__xludf.DUMMYFUNCTION("IMPORTRANGE(""https://docs.google.com/spreadsheets/d/1eHaY18a8A9IcSdp1K8H6x8fbOy06t2VsZHhMHf-1x7Y/edit?usp=sharing"",""แผน!BA88"")"),0)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IFERROR(__xludf.DUMMYFUNCTION("IMPORTRANGE(""https://docs.google.com/spreadsheets/d/1eHaY18a8A9IcSdp1K8H6x8fbOy06t2VsZHhMHf-1x7Y/edit?usp=sharing"",""แผน!BG88"")"),0)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IFERROR(__xludf.DUMMYFUNCTION("IMPORTRANGE(""https://docs.google.com/spreadsheets/d/1eHaY18a8A9IcSdp1K8H6x8fbOy06t2VsZHhMHf-1x7Y/edit?usp=sharing"",""แผน!BB88"")"),0)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IFERROR(__xludf.DUMMYFUNCTION("IMPORTRANGE(""https://docs.google.com/spreadsheets/d/1eHaY18a8A9IcSdp1K8H6x8fbOy06t2VsZHhMHf-1x7Y/edit?usp=sharing"",""แผน!BC88"")"),0)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IFERROR(__xludf.DUMMYFUNCTION("IMPORTRANGE(""https://docs.google.com/spreadsheets/d/1eHaY18a8A9IcSdp1K8H6x8fbOy06t2VsZHhMHf-1x7Y/edit?usp=sharing"",""แผน!BD88"")"),0)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IFERROR(__xludf.DUMMYFUNCTION("IMPORTRANGE(""https://docs.google.com/spreadsheets/d/1eHaY18a8A9IcSdp1K8H6x8fbOy06t2VsZHhMHf-1x7Y/edit?usp=sharing"",""แผน!BE88"")"),0)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IFERROR(__xludf.DUMMYFUNCTION("IMPORTRANGE(""https://docs.google.com/spreadsheets/d/1eHaY18a8A9IcSdp1K8H6x8fbOy06t2VsZHhMHf-1x7Y/edit?usp=sharing"",""แผน!BH88"")"),0)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22</v>
      </c>
      <c r="J265" s="686">
        <f t="shared" si="162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21800</v>
      </c>
      <c r="N266" s="441">
        <f t="shared" ca="1" si="163"/>
        <v>21800</v>
      </c>
      <c r="O266" s="441">
        <f t="shared" ref="O266:O274" ca="1" si="164">IF(L266&gt;0,N266*100/L266,0)</f>
        <v>436</v>
      </c>
      <c r="P266" s="441">
        <f t="shared" ref="P266:P274" ca="1" si="165">IF(M266&gt;0,N266*100/M266,0)</f>
        <v>100</v>
      </c>
      <c r="Q266" s="441">
        <f t="shared" ref="Q266:S266" ca="1" si="166">Q267+Q268</f>
        <v>50660</v>
      </c>
      <c r="R266" s="441">
        <f t="shared" ca="1" si="166"/>
        <v>43780</v>
      </c>
      <c r="S266" s="441">
        <f t="shared" ca="1" si="166"/>
        <v>43780</v>
      </c>
      <c r="T266" s="441">
        <f t="shared" ref="T266:T274" ca="1" si="167">IF(Q266&gt;0,S266*100/Q266,0)</f>
        <v>86.419265692854324</v>
      </c>
      <c r="U266" s="441">
        <f t="shared" ref="U266:U274" ca="1" si="168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21800</v>
      </c>
      <c r="N268" s="352">
        <f t="shared" ca="1" si="169"/>
        <v>21800</v>
      </c>
      <c r="O268" s="352">
        <f t="shared" ca="1" si="164"/>
        <v>436</v>
      </c>
      <c r="P268" s="352">
        <f t="shared" ca="1" si="165"/>
        <v>100</v>
      </c>
      <c r="Q268" s="352">
        <f t="shared" ca="1" si="170"/>
        <v>50660</v>
      </c>
      <c r="R268" s="352">
        <f t="shared" ca="1" si="170"/>
        <v>43780</v>
      </c>
      <c r="S268" s="352">
        <f t="shared" ca="1" si="170"/>
        <v>43780</v>
      </c>
      <c r="T268" s="352">
        <f t="shared" ca="1" si="167"/>
        <v>86.419265692854324</v>
      </c>
      <c r="U268" s="352">
        <f t="shared" ca="1" si="168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21800</v>
      </c>
      <c r="N269" s="352">
        <f t="shared" ca="1" si="171"/>
        <v>21800</v>
      </c>
      <c r="O269" s="352">
        <f t="shared" ca="1" si="164"/>
        <v>436</v>
      </c>
      <c r="P269" s="352">
        <f t="shared" ca="1" si="165"/>
        <v>100</v>
      </c>
      <c r="Q269" s="352">
        <f t="shared" ref="Q269:S269" ca="1" si="172">Q270+Q271</f>
        <v>50660</v>
      </c>
      <c r="R269" s="352">
        <f t="shared" ca="1" si="172"/>
        <v>43780</v>
      </c>
      <c r="S269" s="352">
        <f t="shared" ca="1" si="172"/>
        <v>43780</v>
      </c>
      <c r="T269" s="352">
        <f t="shared" ca="1" si="167"/>
        <v>86.419265692854324</v>
      </c>
      <c r="U269" s="352">
        <f t="shared" ca="1" si="168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IFERROR(__xludf.DUMMYFUNCTION("IMPORTRANGE(""https://docs.google.com/spreadsheets/d/1-uDff_7J0KD5mKrp0Vvzr7lt3OU09vwQwhkpOPPYv2Y/edit?usp=sharing"",""งบพรบ!DE88"")"),5000)</f>
        <v>5000</v>
      </c>
      <c r="M271" s="352">
        <f ca="1">IFERROR(__xludf.DUMMYFUNCTION("IMPORTRANGE(""https://docs.google.com/spreadsheets/d/1-uDff_7J0KD5mKrp0Vvzr7lt3OU09vwQwhkpOPPYv2Y/edit?usp=sharing"",""งบพรบ!DJ88"")"),21800)</f>
        <v>21800</v>
      </c>
      <c r="N271" s="352">
        <f ca="1">IFERROR(__xludf.DUMMYFUNCTION("IMPORTRANGE(""https://docs.google.com/spreadsheets/d/1-uDff_7J0KD5mKrp0Vvzr7lt3OU09vwQwhkpOPPYv2Y/edit?usp=sharing"",""งบพรบ!DL88"")"),21800)</f>
        <v>21800</v>
      </c>
      <c r="O271" s="352">
        <f t="shared" ca="1" si="164"/>
        <v>436</v>
      </c>
      <c r="P271" s="352">
        <f t="shared" ca="1" si="165"/>
        <v>100</v>
      </c>
      <c r="Q271" s="352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IFERROR(__xludf.DUMMYFUNCTION("IMPORTRANGE(""https://docs.google.com/spreadsheets/d/1ItG2mGa2ceCfYo0BwxsXqNm01IGEUdYcSSLTEv9YCik/edit?usp=sharing"",""เบิกจ่ายกองทุน!AQ88"")"),43780)</f>
        <v>43780</v>
      </c>
      <c r="S271" s="352">
        <f ca="1">IFERROR(__xludf.DUMMYFUNCTION("IMPORTRANGE(""https://docs.google.com/spreadsheets/d/1ItG2mGa2ceCfYo0BwxsXqNm01IGEUdYcSSLTEv9YCik/edit?usp=sharing"",""เบิกจ่ายกองทุน!AR88"")"),43780)</f>
        <v>43780</v>
      </c>
      <c r="T271" s="352">
        <f t="shared" ca="1" si="167"/>
        <v>86.419265692854324</v>
      </c>
      <c r="U271" s="352">
        <f t="shared" ca="1" si="168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IFERROR(__xludf.DUMMYFUNCTION("IMPORTRANGE(""https://docs.google.com/spreadsheets/d/1-uDff_7J0KD5mKrp0Vvzr7lt3OU09vwQwhkpOPPYv2Y/edit?usp=sharing"",""งบพรบ!DH88"")"),0)</f>
        <v>0</v>
      </c>
      <c r="M274" s="352">
        <f ca="1">IFERROR(__xludf.DUMMYFUNCTION("IMPORTRANGE(""https://docs.google.com/spreadsheets/d/1-uDff_7J0KD5mKrp0Vvzr7lt3OU09vwQwhkpOPPYv2Y/edit?usp=sharing"",""งบพรบ!DK88"")"),0)</f>
        <v>0</v>
      </c>
      <c r="N274" s="352">
        <f ca="1">IFERROR(__xludf.DUMMYFUNCTION("IMPORTRANGE(""https://docs.google.com/spreadsheets/d/1-uDff_7J0KD5mKrp0Vvzr7lt3OU09vwQwhkpOPPYv2Y/edit?usp=sharing"",""งบพรบ!DM88"")"),0)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IFERROR(__xludf.DUMMYFUNCTION("IMPORTRANGE(""https://docs.google.com/spreadsheets/d/1eHaY18a8A9IcSdp1K8H6x8fbOy06t2VsZHhMHf-1x7Y/edit?usp=sharing"",""แผน!EC88"")"),22)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10</v>
      </c>
      <c r="J280" s="299">
        <f t="shared" si="175"/>
        <v>10</v>
      </c>
      <c r="K280" s="300">
        <f t="shared" ref="K280:K281" ca="1" si="176">IF(I280&gt;0,J280*100/I280,0)</f>
        <v>100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100</v>
      </c>
      <c r="J281" s="299">
        <f t="shared" si="177"/>
        <v>100</v>
      </c>
      <c r="K281" s="300">
        <f t="shared" ca="1" si="176"/>
        <v>100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x14ac:dyDescent="0.3">
      <c r="A282" s="129"/>
      <c r="B282" s="200"/>
      <c r="C282" s="40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415220</v>
      </c>
      <c r="M282" s="133">
        <f t="shared" ca="1" si="178"/>
        <v>428150</v>
      </c>
      <c r="N282" s="133">
        <f t="shared" ca="1" si="178"/>
        <v>427574.83</v>
      </c>
      <c r="O282" s="133">
        <f t="shared" ref="O282:O290" ca="1" si="179">IF(L282&gt;0,N282*100/L282,0)</f>
        <v>102.97549010163287</v>
      </c>
      <c r="P282" s="133">
        <f t="shared" ref="P282:P290" ca="1" si="180">IF(M282&gt;0,N282*100/M282,0)</f>
        <v>99.865661567207752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415220</v>
      </c>
      <c r="M284" s="47">
        <f t="shared" ca="1" si="184"/>
        <v>428150</v>
      </c>
      <c r="N284" s="47">
        <f t="shared" ca="1" si="184"/>
        <v>427574.83</v>
      </c>
      <c r="O284" s="47">
        <f t="shared" ca="1" si="179"/>
        <v>102.97549010163287</v>
      </c>
      <c r="P284" s="47">
        <f t="shared" ca="1" si="180"/>
        <v>99.865661567207752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415220</v>
      </c>
      <c r="M285" s="47">
        <f t="shared" ca="1" si="186"/>
        <v>428150</v>
      </c>
      <c r="N285" s="47">
        <f t="shared" ca="1" si="186"/>
        <v>427574.83</v>
      </c>
      <c r="O285" s="47">
        <f t="shared" ca="1" si="179"/>
        <v>102.97549010163287</v>
      </c>
      <c r="P285" s="47">
        <f t="shared" ca="1" si="180"/>
        <v>99.865661567207752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IFERROR(__xludf.DUMMYFUNCTION("IMPORTRANGE(""https://docs.google.com/spreadsheets/d/1-uDff_7J0KD5mKrp0Vvzr7lt3OU09vwQwhkpOPPYv2Y/edit?usp=sharing"",""งบพรบ!DT88"")"),428150)</f>
        <v>428150</v>
      </c>
      <c r="N287" s="47">
        <f ca="1">IFERROR(__xludf.DUMMYFUNCTION("IMPORTRANGE(""https://docs.google.com/spreadsheets/d/1-uDff_7J0KD5mKrp0Vvzr7lt3OU09vwQwhkpOPPYv2Y/edit?usp=sharing"",""งบพรบ!DV88"")"),427574.83)</f>
        <v>427574.83</v>
      </c>
      <c r="O287" s="47">
        <f t="shared" ca="1" si="179"/>
        <v>102.97549010163287</v>
      </c>
      <c r="P287" s="47">
        <f t="shared" ca="1" si="180"/>
        <v>99.865661567207752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x14ac:dyDescent="0.3">
      <c r="A291" s="139"/>
      <c r="B291" s="140"/>
      <c r="C291" s="40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IFERROR(__xludf.DUMMYFUNCTION("IMPORTRANGE(""https://docs.google.com/spreadsheets/d/1eHaY18a8A9IcSdp1K8H6x8fbOy06t2VsZHhMHf-1x7Y/edit?usp=sharing"",""แผน!EE88"")"),100)</f>
        <v>100</v>
      </c>
      <c r="J292" s="169">
        <v>100</v>
      </c>
      <c r="K292" s="154">
        <f t="shared" ref="K292:K293" ca="1" si="190">IF(I292&gt;0,J292*100/I292,0)</f>
        <v>100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IFERROR(__xludf.DUMMYFUNCTION("IMPORTRANGE(""https://docs.google.com/spreadsheets/d/1eHaY18a8A9IcSdp1K8H6x8fbOy06t2VsZHhMHf-1x7Y/edit?usp=sharing"",""แผน!ED88"")"),10)</f>
        <v>10</v>
      </c>
      <c r="J293" s="371">
        <f>J296</f>
        <v>10</v>
      </c>
      <c r="K293" s="149">
        <f t="shared" ca="1" si="190"/>
        <v>100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IFERROR(__xludf.DUMMYFUNCTION("IMPORTRANGE(""https://docs.google.com/spreadsheets/d/1eHaY18a8A9IcSdp1K8H6x8fbOy06t2VsZHhMHf-1x7Y/edit?usp=sharing"",""แผน!ED88"")"),10)</f>
        <v>10</v>
      </c>
      <c r="J295" s="169">
        <v>10</v>
      </c>
      <c r="K295" s="154">
        <f t="shared" ref="K295:K296" ca="1" si="191">IF(I295&gt;0,J295*100/I295,0)</f>
        <v>100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IFERROR(__xludf.DUMMYFUNCTION("IMPORTRANGE(""https://docs.google.com/spreadsheets/d/1eHaY18a8A9IcSdp1K8H6x8fbOy06t2VsZHhMHf-1x7Y/edit?usp=sharing"",""แผน!ED88"")"),10)</f>
        <v>10</v>
      </c>
      <c r="J296" s="169">
        <v>10</v>
      </c>
      <c r="K296" s="154">
        <f t="shared" ca="1" si="191"/>
        <v>100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9.5" x14ac:dyDescent="0.3">
      <c r="A297" s="139"/>
      <c r="B297" s="140"/>
      <c r="C297" s="140"/>
      <c r="D297" s="170"/>
      <c r="E297" s="303" t="s">
        <v>125</v>
      </c>
      <c r="F297" s="170"/>
      <c r="G297" s="144"/>
      <c r="H297" s="144"/>
      <c r="I297" s="136"/>
      <c r="J297" s="136"/>
      <c r="K297" s="137"/>
      <c r="L297" s="619"/>
      <c r="M297" s="137"/>
      <c r="N297" s="137"/>
      <c r="O297" s="137"/>
      <c r="P297" s="137"/>
      <c r="Q297" s="137"/>
      <c r="R297" s="137"/>
      <c r="S297" s="137"/>
      <c r="T297" s="137"/>
      <c r="U297" s="137"/>
    </row>
    <row r="298" spans="1:21" ht="19.5" x14ac:dyDescent="0.3">
      <c r="A298" s="139"/>
      <c r="B298" s="140"/>
      <c r="C298" s="140"/>
      <c r="D298" s="170"/>
      <c r="E298" s="303" t="s">
        <v>123</v>
      </c>
      <c r="F298" s="170"/>
      <c r="G298" s="144"/>
      <c r="H298" s="248" t="s">
        <v>35</v>
      </c>
      <c r="I298" s="152">
        <f ca="1">IFERROR(__xludf.DUMMYFUNCTION("IMPORTRANGE(""https://docs.google.com/spreadsheets/d/1eHaY18a8A9IcSdp1K8H6x8fbOy06t2VsZHhMHf-1x7Y/edit?usp=sharing"",""แผน!ED88"")"),10)</f>
        <v>10</v>
      </c>
      <c r="J298" s="169">
        <v>10</v>
      </c>
      <c r="K298" s="154">
        <f t="shared" ref="K298:K299" ca="1" si="192">IF(I298&gt;0,J298*100/I298,0)</f>
        <v>100</v>
      </c>
      <c r="L298" s="619"/>
      <c r="M298" s="137"/>
      <c r="N298" s="137"/>
      <c r="O298" s="137"/>
      <c r="P298" s="137"/>
      <c r="Q298" s="137"/>
      <c r="R298" s="137"/>
      <c r="S298" s="137"/>
      <c r="T298" s="137"/>
      <c r="U298" s="137"/>
    </row>
    <row r="299" spans="1:21" ht="19.5" x14ac:dyDescent="0.3">
      <c r="A299" s="274"/>
      <c r="B299" s="275"/>
      <c r="C299" s="275"/>
      <c r="D299" s="277"/>
      <c r="E299" s="303" t="s">
        <v>124</v>
      </c>
      <c r="F299" s="277"/>
      <c r="G299" s="278"/>
      <c r="H299" s="248" t="s">
        <v>35</v>
      </c>
      <c r="I299" s="152">
        <f ca="1">IFERROR(__xludf.DUMMYFUNCTION("IMPORTRANGE(""https://docs.google.com/spreadsheets/d/1eHaY18a8A9IcSdp1K8H6x8fbOy06t2VsZHhMHf-1x7Y/edit?usp=sharing"",""แผน!ED88"")"),10)</f>
        <v>10</v>
      </c>
      <c r="J299" s="169">
        <v>10</v>
      </c>
      <c r="K299" s="154">
        <f t="shared" ca="1" si="192"/>
        <v>100</v>
      </c>
      <c r="L299" s="701"/>
      <c r="M299" s="280"/>
      <c r="N299" s="280"/>
      <c r="O299" s="280"/>
      <c r="P299" s="280"/>
      <c r="Q299" s="280"/>
      <c r="R299" s="280"/>
      <c r="S299" s="280"/>
      <c r="T299" s="280"/>
      <c r="U299" s="280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20</v>
      </c>
      <c r="J302" s="321">
        <f t="shared" si="193"/>
        <v>20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264500</v>
      </c>
      <c r="M303" s="133">
        <f t="shared" ca="1" si="194"/>
        <v>264500</v>
      </c>
      <c r="N303" s="133">
        <f t="shared" ca="1" si="194"/>
        <v>244500</v>
      </c>
      <c r="O303" s="133">
        <f t="shared" ref="O303:O311" ca="1" si="195">IF(L303&gt;0,N303*100/L303,0)</f>
        <v>92.438563327032142</v>
      </c>
      <c r="P303" s="133">
        <f t="shared" ref="P303:P311" ca="1" si="196">IF(M303&gt;0,N303*100/M303,0)</f>
        <v>92.438563327032142</v>
      </c>
      <c r="Q303" s="133">
        <f t="shared" ref="Q303:S303" ca="1" si="197">Q304+Q305</f>
        <v>144609.24</v>
      </c>
      <c r="R303" s="133">
        <f t="shared" ca="1" si="197"/>
        <v>117489</v>
      </c>
      <c r="S303" s="133">
        <f t="shared" ca="1" si="197"/>
        <v>117489</v>
      </c>
      <c r="T303" s="133">
        <f t="shared" ref="T303:T311" ca="1" si="198">IF(Q303&gt;0,S303*100/Q303,0)</f>
        <v>81.245845701146067</v>
      </c>
      <c r="U303" s="133">
        <f t="shared" ref="U303:U311" ca="1" si="199">IF(R303&gt;0,S303*100/R303,0)</f>
        <v>100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264500</v>
      </c>
      <c r="M305" s="47">
        <f t="shared" ca="1" si="200"/>
        <v>264500</v>
      </c>
      <c r="N305" s="47">
        <f t="shared" ca="1" si="200"/>
        <v>244500</v>
      </c>
      <c r="O305" s="47">
        <f t="shared" ca="1" si="195"/>
        <v>92.438563327032142</v>
      </c>
      <c r="P305" s="47">
        <f t="shared" ca="1" si="196"/>
        <v>92.438563327032142</v>
      </c>
      <c r="Q305" s="47">
        <f t="shared" ca="1" si="201"/>
        <v>144609.24</v>
      </c>
      <c r="R305" s="47">
        <f t="shared" ca="1" si="201"/>
        <v>117489</v>
      </c>
      <c r="S305" s="47">
        <f t="shared" ca="1" si="201"/>
        <v>117489</v>
      </c>
      <c r="T305" s="47">
        <f t="shared" ca="1" si="198"/>
        <v>81.245845701146067</v>
      </c>
      <c r="U305" s="47">
        <f t="shared" ca="1" si="199"/>
        <v>100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264500</v>
      </c>
      <c r="M306" s="47">
        <f t="shared" ca="1" si="202"/>
        <v>264500</v>
      </c>
      <c r="N306" s="47">
        <f t="shared" ca="1" si="202"/>
        <v>244500</v>
      </c>
      <c r="O306" s="47">
        <f t="shared" ca="1" si="195"/>
        <v>92.438563327032142</v>
      </c>
      <c r="P306" s="47">
        <f t="shared" ca="1" si="196"/>
        <v>92.438563327032142</v>
      </c>
      <c r="Q306" s="47">
        <f t="shared" ref="Q306:S306" ca="1" si="203">Q307+Q308</f>
        <v>144609.24</v>
      </c>
      <c r="R306" s="47">
        <f t="shared" ca="1" si="203"/>
        <v>117489</v>
      </c>
      <c r="S306" s="47">
        <f t="shared" ca="1" si="203"/>
        <v>117489</v>
      </c>
      <c r="T306" s="47">
        <f t="shared" ca="1" si="198"/>
        <v>81.245845701146067</v>
      </c>
      <c r="U306" s="47">
        <f t="shared" ca="1" si="199"/>
        <v>100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IFERROR(__xludf.DUMMYFUNCTION("IMPORTRANGE(""https://docs.google.com/spreadsheets/d/1-uDff_7J0KD5mKrp0Vvzr7lt3OU09vwQwhkpOPPYv2Y/edit?usp=sharing"",""งบพรบ!ED88"")"),264500)</f>
        <v>264500</v>
      </c>
      <c r="N308" s="47">
        <f ca="1">IFERROR(__xludf.DUMMYFUNCTION("IMPORTRANGE(""https://docs.google.com/spreadsheets/d/1-uDff_7J0KD5mKrp0Vvzr7lt3OU09vwQwhkpOPPYv2Y/edit?usp=sharing"",""งบพรบ!EF88"")"),244500)</f>
        <v>244500</v>
      </c>
      <c r="O308" s="47">
        <f t="shared" ca="1" si="195"/>
        <v>92.438563327032142</v>
      </c>
      <c r="P308" s="47">
        <f t="shared" ca="1" si="196"/>
        <v>92.438563327032142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IFERROR(__xludf.DUMMYFUNCTION("IMPORTRANGE(""https://docs.google.com/spreadsheets/d/1ItG2mGa2ceCfYo0BwxsXqNm01IGEUdYcSSLTEv9YCik/edit?usp=sharing"",""เบิกจ่ายกองทุน!BC88"")"),117489)</f>
        <v>117489</v>
      </c>
      <c r="S308" s="47">
        <f ca="1">IFERROR(__xludf.DUMMYFUNCTION("IMPORTRANGE(""https://docs.google.com/spreadsheets/d/1ItG2mGa2ceCfYo0BwxsXqNm01IGEUdYcSSLTEv9YCik/edit?usp=sharing"",""เบิกจ่ายกองทุน!BD88"")"),117489)</f>
        <v>117489</v>
      </c>
      <c r="T308" s="47">
        <f t="shared" ca="1" si="198"/>
        <v>81.245845701146067</v>
      </c>
      <c r="U308" s="47">
        <f t="shared" ca="1" si="199"/>
        <v>100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IFERROR(__xludf.DUMMYFUNCTION("IMPORTRANGE(""https://docs.google.com/spreadsheets/d/1eHaY18a8A9IcSdp1K8H6x8fbOy06t2VsZHhMHf-1x7Y/edit?usp=sharing"",""แผน!EF88"")"),20)</f>
        <v>20</v>
      </c>
      <c r="J314" s="169">
        <v>20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1</v>
      </c>
      <c r="J319" s="321">
        <f t="shared" si="206"/>
        <v>1</v>
      </c>
      <c r="K319" s="322">
        <f ca="1">IF(I319&gt;0,J319*100/I319,0)</f>
        <v>100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x14ac:dyDescent="0.3">
      <c r="A320" s="129"/>
      <c r="B320" s="200"/>
      <c r="C320" s="40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125000</v>
      </c>
      <c r="M320" s="133">
        <f t="shared" ca="1" si="207"/>
        <v>125000</v>
      </c>
      <c r="N320" s="133">
        <f t="shared" ca="1" si="207"/>
        <v>112000</v>
      </c>
      <c r="O320" s="133">
        <f t="shared" ref="O320:O328" ca="1" si="208">IF(L320&gt;0,N320*100/L320,0)</f>
        <v>89.6</v>
      </c>
      <c r="P320" s="133">
        <f t="shared" ref="P320:P328" ca="1" si="209">IF(M320&gt;0,N320*100/M320,0)</f>
        <v>89.6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125000</v>
      </c>
      <c r="M322" s="47">
        <f t="shared" ca="1" si="213"/>
        <v>125000</v>
      </c>
      <c r="N322" s="47">
        <f t="shared" ca="1" si="213"/>
        <v>112000</v>
      </c>
      <c r="O322" s="47">
        <f t="shared" ca="1" si="208"/>
        <v>89.6</v>
      </c>
      <c r="P322" s="47">
        <f t="shared" ca="1" si="209"/>
        <v>89.6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125000</v>
      </c>
      <c r="M323" s="47">
        <f t="shared" ca="1" si="215"/>
        <v>125000</v>
      </c>
      <c r="N323" s="47">
        <f t="shared" ca="1" si="215"/>
        <v>112000</v>
      </c>
      <c r="O323" s="47">
        <f t="shared" ca="1" si="208"/>
        <v>89.6</v>
      </c>
      <c r="P323" s="47">
        <f t="shared" ca="1" si="209"/>
        <v>89.6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IFERROR(__xludf.DUMMYFUNCTION("IMPORTRANGE(""https://docs.google.com/spreadsheets/d/1-uDff_7J0KD5mKrp0Vvzr7lt3OU09vwQwhkpOPPYv2Y/edit?usp=sharing"",""งบพรบ!EN88"")"),125000)</f>
        <v>125000</v>
      </c>
      <c r="N325" s="47">
        <f ca="1">IFERROR(__xludf.DUMMYFUNCTION("IMPORTRANGE(""https://docs.google.com/spreadsheets/d/1-uDff_7J0KD5mKrp0Vvzr7lt3OU09vwQwhkpOPPYv2Y/edit?usp=sharing"",""งบพรบ!EP88"")"),112000)</f>
        <v>112000</v>
      </c>
      <c r="O325" s="47">
        <f t="shared" ca="1" si="208"/>
        <v>89.6</v>
      </c>
      <c r="P325" s="47">
        <f t="shared" ca="1" si="209"/>
        <v>89.6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x14ac:dyDescent="0.3">
      <c r="A329" s="139"/>
      <c r="B329" s="140"/>
      <c r="C329" s="40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IFERROR(__xludf.DUMMYFUNCTION("IMPORTRANGE(""https://docs.google.com/spreadsheets/d/1eHaY18a8A9IcSdp1K8H6x8fbOy06t2VsZHhMHf-1x7Y/edit?usp=sharing"",""แผน!EJ88"")"),1)</f>
        <v>1</v>
      </c>
      <c r="J330" s="169">
        <v>1</v>
      </c>
      <c r="K330" s="47">
        <f ca="1">IF(I330&gt;0,J330*100/I330,0)</f>
        <v>100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IFERROR(__xludf.DUMMYFUNCTION("IMPORTRANGE(""https://docs.google.com/spreadsheets/d/1eHaY18a8A9IcSdp1K8H6x8fbOy06t2VsZHhMHf-1x7Y/edit?usp=sharing"",""แผน!EK88"")"),4800)</f>
        <v>4800</v>
      </c>
      <c r="J332" s="718">
        <f ca="1">J344+J347+J348+J349+J353+J354</f>
        <v>22729</v>
      </c>
      <c r="K332" s="719">
        <f ca="1">IF(I332&gt;0,J332*100/I332,0)</f>
        <v>473.52083333333331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194000</v>
      </c>
      <c r="M333" s="133">
        <f t="shared" ca="1" si="219"/>
        <v>194000</v>
      </c>
      <c r="N333" s="133">
        <f t="shared" ca="1" si="219"/>
        <v>181000</v>
      </c>
      <c r="O333" s="133">
        <f t="shared" ref="O333:O341" ca="1" si="220">IF(L333&gt;0,N333*100/L333,0)</f>
        <v>93.298969072164951</v>
      </c>
      <c r="P333" s="133">
        <f t="shared" ref="P333:P341" ca="1" si="221">IF(M333&gt;0,N333*100/M333,0)</f>
        <v>93.298969072164951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194000</v>
      </c>
      <c r="M335" s="47">
        <f t="shared" ca="1" si="225"/>
        <v>194000</v>
      </c>
      <c r="N335" s="47">
        <f t="shared" ca="1" si="225"/>
        <v>181000</v>
      </c>
      <c r="O335" s="47">
        <f t="shared" ca="1" si="220"/>
        <v>93.298969072164951</v>
      </c>
      <c r="P335" s="47">
        <f t="shared" ca="1" si="221"/>
        <v>93.298969072164951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194000</v>
      </c>
      <c r="M336" s="47">
        <f t="shared" ca="1" si="227"/>
        <v>194000</v>
      </c>
      <c r="N336" s="47">
        <f t="shared" ca="1" si="227"/>
        <v>181000</v>
      </c>
      <c r="O336" s="47">
        <f t="shared" ca="1" si="220"/>
        <v>93.298969072164951</v>
      </c>
      <c r="P336" s="47">
        <f t="shared" ca="1" si="221"/>
        <v>93.298969072164951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IFERROR(__xludf.DUMMYFUNCTION("IMPORTRANGE(""https://docs.google.com/spreadsheets/d/1-uDff_7J0KD5mKrp0Vvzr7lt3OU09vwQwhkpOPPYv2Y/edit?usp=sharing"",""งบพรบ!EX88"")"),194000)</f>
        <v>194000</v>
      </c>
      <c r="N338" s="47">
        <f ca="1">IFERROR(__xludf.DUMMYFUNCTION("IMPORTRANGE(""https://docs.google.com/spreadsheets/d/1-uDff_7J0KD5mKrp0Vvzr7lt3OU09vwQwhkpOPPYv2Y/edit?usp=sharing"",""งบพรบ!EZ88"")"),181000)</f>
        <v>181000</v>
      </c>
      <c r="O338" s="47">
        <f t="shared" ca="1" si="220"/>
        <v>93.298969072164951</v>
      </c>
      <c r="P338" s="47">
        <f t="shared" ca="1" si="221"/>
        <v>93.298969072164951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9660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IFERROR(__xludf.DUMMYFUNCTION("IMPORTRANGE(""https://docs.google.com/spreadsheets/d/1awYsYK3VOup2i3Pq_Yjnu8DRu_mYwSBnCR2QPthd0rU/edit?usp=sharing"",""ศูนย์ยกเว้นโฉนด!D88"")"),9407)</f>
        <v>9407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IFERROR(__xludf.DUMMYFUNCTION("IMPORTRANGE(""https://docs.google.com/spreadsheets/d/1eHaY18a8A9IcSdp1K8H6x8fbOy06t2VsZHhMHf-1x7Y/edit?usp=sharing"",""แผน!EL88"")"),8)</f>
        <v>8</v>
      </c>
      <c r="J346" s="37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100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IFERROR(__xludf.DUMMYFUNCTION("IMPORTRANGE(""https://docs.google.com/spreadsheets/d/1awYsYK3VOup2i3Pq_Yjnu8DRu_mYwSBnCR2QPthd0rU/edit?usp=sharing"",""ศูนย์ยกเว้นโฉนด!G88"")"),121)</f>
        <v>121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13069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IFERROR(__xludf.DUMMYFUNCTION("IMPORTRANGE(""https://docs.google.com/spreadsheets/d/1awYsYK3VOup2i3Pq_Yjnu8DRu_mYwSBnCR2QPthd0rU/edit?usp=sharing"",""โฉนดM3!G88"")"),2396)</f>
        <v>2396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IFERROR(__xludf.DUMMYFUNCTION("IMPORTRANGE(""https://docs.google.com/spreadsheets/d/1awYsYK3VOup2i3Pq_Yjnu8DRu_mYwSBnCR2QPthd0rU/edit?usp=sharing"",""โฉนดM3!H88"")"),10674)</f>
        <v>10674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IFERROR(__xludf.DUMMYFUNCTION("IMPORTRANGE(""https://docs.google.com/spreadsheets/d/1awYsYK3VOup2i3Pq_Yjnu8DRu_mYwSBnCR2QPthd0rU/edit?usp=sharing"",""โฉนดM3!I88"")"),2395)</f>
        <v>2395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1057580</v>
      </c>
      <c r="M356" s="133">
        <f t="shared" ca="1" si="231"/>
        <v>1191580</v>
      </c>
      <c r="N356" s="133">
        <f t="shared" ca="1" si="231"/>
        <v>1145265.57</v>
      </c>
      <c r="O356" s="133">
        <f t="shared" ref="O356:O364" ca="1" si="232">IF(L356&gt;0,N356*100/L356,0)</f>
        <v>108.29115244236843</v>
      </c>
      <c r="P356" s="133">
        <f t="shared" ref="P356:P364" ca="1" si="233">IF(M356&gt;0,N356*100/M356,0)</f>
        <v>96.113191728629218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1057580</v>
      </c>
      <c r="M358" s="47">
        <f t="shared" ca="1" si="237"/>
        <v>1191580</v>
      </c>
      <c r="N358" s="47">
        <f t="shared" ca="1" si="237"/>
        <v>1145265.57</v>
      </c>
      <c r="O358" s="47">
        <f t="shared" ca="1" si="232"/>
        <v>108.29115244236843</v>
      </c>
      <c r="P358" s="47">
        <f t="shared" ca="1" si="233"/>
        <v>96.113191728629218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1057580</v>
      </c>
      <c r="M359" s="47">
        <f t="shared" ca="1" si="239"/>
        <v>1191580</v>
      </c>
      <c r="N359" s="47">
        <f t="shared" ca="1" si="239"/>
        <v>1145265.57</v>
      </c>
      <c r="O359" s="47">
        <f t="shared" ca="1" si="232"/>
        <v>108.29115244236843</v>
      </c>
      <c r="P359" s="47">
        <f t="shared" ca="1" si="233"/>
        <v>96.113191728629218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IFERROR(__xludf.DUMMYFUNCTION("IMPORTRANGE(""https://docs.google.com/spreadsheets/d/1-uDff_7J0KD5mKrp0Vvzr7lt3OU09vwQwhkpOPPYv2Y/edit?usp=sharing"",""งบพรบ!FH88"")"),1191580)</f>
        <v>1191580</v>
      </c>
      <c r="N361" s="47">
        <f ca="1">IFERROR(__xludf.DUMMYFUNCTION("IMPORTRANGE(""https://docs.google.com/spreadsheets/d/1-uDff_7J0KD5mKrp0Vvzr7lt3OU09vwQwhkpOPPYv2Y/edit?usp=sharing"",""งบพรบ!FJ88"")"),1145265.57)</f>
        <v>1145265.57</v>
      </c>
      <c r="O361" s="47">
        <f t="shared" ca="1" si="232"/>
        <v>108.29115244236843</v>
      </c>
      <c r="P361" s="47">
        <f t="shared" ca="1" si="233"/>
        <v>96.113191728629218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1286</v>
      </c>
      <c r="J365" s="236">
        <f t="shared" ca="1" si="243"/>
        <v>1538</v>
      </c>
      <c r="K365" s="237">
        <f ca="1">IF(I365&gt;0,J365*100/I365,0)</f>
        <v>119.59564541213064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IFERROR(__xludf.DUMMYFUNCTION("IMPORTRANGE(""https://docs.google.com/spreadsheets/d/1tdoBKaGub7dwA3U6UFTqxio9LNnvDCQjHKmttSEBsFQ/edit?usp=sharing"",""จัดที่ดิน!AB88"")"),637)</f>
        <v>637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IFERROR(__xludf.DUMMYFUNCTION("IMPORTRANGE(""https://docs.google.com/spreadsheets/d/1eHaY18a8A9IcSdp1K8H6x8fbOy06t2VsZHhMHf-1x7Y/edit?usp=sharing"",""แผน!EW88"")"),3600)</f>
        <v>3600</v>
      </c>
      <c r="J368" s="729">
        <f ca="1">IFERROR(__xludf.DUMMYFUNCTION("IMPORTRANGE(""https://docs.google.com/spreadsheets/d/1tdoBKaGub7dwA3U6UFTqxio9LNnvDCQjHKmttSEBsFQ/edit?usp=sharing"",""จัดที่ดิน!AC88"")"),7015.19)</f>
        <v>7015.19</v>
      </c>
      <c r="K368" s="47">
        <f t="shared" ca="1" si="244"/>
        <v>194.86638888888888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IFERROR(__xludf.DUMMYFUNCTION("IMPORTRANGE(""https://docs.google.com/spreadsheets/d/1eHaY18a8A9IcSdp1K8H6x8fbOy06t2VsZHhMHf-1x7Y/edit?usp=sharing"",""แผน!EX88"")"),1286)</f>
        <v>1286</v>
      </c>
      <c r="J369" s="372">
        <f ca="1">IFERROR(__xludf.DUMMYFUNCTION("IMPORTRANGE(""https://docs.google.com/spreadsheets/d/1tdoBKaGub7dwA3U6UFTqxio9LNnvDCQjHKmttSEBsFQ/edit?usp=sharing"",""จัดที่ดิน!AD88"")"),1565)</f>
        <v>1565</v>
      </c>
      <c r="K369" s="47">
        <f t="shared" ca="1" si="244"/>
        <v>121.69517884914464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IFERROR(__xludf.DUMMYFUNCTION("IMPORTRANGE(""https://docs.google.com/spreadsheets/d/1tdoBKaGub7dwA3U6UFTqxio9LNnvDCQjHKmttSEBsFQ/edit?usp=sharing"",""จัดที่ดิน!AE88"")"),22028.38)</f>
        <v>22028.38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IFERROR(__xludf.DUMMYFUNCTION("IMPORTRANGE(""https://docs.google.com/spreadsheets/d/1eHaY18a8A9IcSdp1K8H6x8fbOy06t2VsZHhMHf-1x7Y/edit?usp=sharing"",""แผน!EY88"")"),1286)</f>
        <v>1286</v>
      </c>
      <c r="J371" s="372">
        <f ca="1">IFERROR(__xludf.DUMMYFUNCTION("IMPORTRANGE(""https://docs.google.com/spreadsheets/d/1tdoBKaGub7dwA3U6UFTqxio9LNnvDCQjHKmttSEBsFQ/edit?usp=sharing"",""จัดที่ดิน!AF88"")"),1538)</f>
        <v>1538</v>
      </c>
      <c r="K371" s="47">
        <f t="shared" ca="1" si="244"/>
        <v>119.59564541213064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IFERROR(__xludf.DUMMYFUNCTION("IMPORTRANGE(""https://docs.google.com/spreadsheets/d/1tdoBKaGub7dwA3U6UFTqxio9LNnvDCQjHKmttSEBsFQ/edit?usp=sharing"",""จัดที่ดิน!AG88"")"),21781.18)</f>
        <v>21781.18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1000</v>
      </c>
      <c r="J374" s="737">
        <f t="shared" ca="1" si="245"/>
        <v>912</v>
      </c>
      <c r="K374" s="738">
        <f ca="1">IF(I374&gt;0,J374*100/I374,0)</f>
        <v>91.2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0</v>
      </c>
      <c r="M375" s="133">
        <f t="shared" ca="1" si="246"/>
        <v>0</v>
      </c>
      <c r="N375" s="133">
        <f t="shared" ca="1" si="246"/>
        <v>0</v>
      </c>
      <c r="O375" s="133">
        <f t="shared" ref="O375:O383" ca="1" si="247">IF(L375&gt;0,N375*100/L375,0)</f>
        <v>0</v>
      </c>
      <c r="P375" s="133">
        <f t="shared" ref="P375:P383" ca="1" si="248">IF(M375&gt;0,N375*100/M375,0)</f>
        <v>0</v>
      </c>
      <c r="Q375" s="133">
        <f t="shared" ref="Q375:S375" ca="1" si="249">Q376+Q377</f>
        <v>62500</v>
      </c>
      <c r="R375" s="133">
        <f t="shared" ca="1" si="249"/>
        <v>62500</v>
      </c>
      <c r="S375" s="133">
        <f t="shared" ca="1" si="249"/>
        <v>62500</v>
      </c>
      <c r="T375" s="133">
        <f t="shared" ref="T375:T383" ca="1" si="250">IF(Q375&gt;0,S375*100/Q375,0)</f>
        <v>100</v>
      </c>
      <c r="U375" s="133">
        <f t="shared" ref="U375:U383" ca="1" si="251">IF(R375&gt;0,S375*100/R375,0)</f>
        <v>100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0</v>
      </c>
      <c r="M377" s="47">
        <f t="shared" ca="1" si="252"/>
        <v>0</v>
      </c>
      <c r="N377" s="47">
        <f t="shared" ca="1" si="252"/>
        <v>0</v>
      </c>
      <c r="O377" s="47">
        <f t="shared" ca="1" si="247"/>
        <v>0</v>
      </c>
      <c r="P377" s="47">
        <f t="shared" ca="1" si="248"/>
        <v>0</v>
      </c>
      <c r="Q377" s="47">
        <f t="shared" ca="1" si="253"/>
        <v>62500</v>
      </c>
      <c r="R377" s="47">
        <f t="shared" ca="1" si="253"/>
        <v>62500</v>
      </c>
      <c r="S377" s="47">
        <f t="shared" ca="1" si="253"/>
        <v>62500</v>
      </c>
      <c r="T377" s="47">
        <f t="shared" ca="1" si="250"/>
        <v>100</v>
      </c>
      <c r="U377" s="47">
        <f t="shared" ca="1" si="251"/>
        <v>100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0</v>
      </c>
      <c r="M378" s="47">
        <f t="shared" ca="1" si="254"/>
        <v>0</v>
      </c>
      <c r="N378" s="47">
        <f t="shared" ca="1" si="254"/>
        <v>0</v>
      </c>
      <c r="O378" s="47">
        <f t="shared" ca="1" si="247"/>
        <v>0</v>
      </c>
      <c r="P378" s="47">
        <f t="shared" ca="1" si="248"/>
        <v>0</v>
      </c>
      <c r="Q378" s="47">
        <f t="shared" ref="Q378:S378" ca="1" si="255">Q379+Q380</f>
        <v>62500</v>
      </c>
      <c r="R378" s="47">
        <f t="shared" ca="1" si="255"/>
        <v>62500</v>
      </c>
      <c r="S378" s="47">
        <f t="shared" ca="1" si="255"/>
        <v>62500</v>
      </c>
      <c r="T378" s="47">
        <f t="shared" ca="1" si="250"/>
        <v>100</v>
      </c>
      <c r="U378" s="47">
        <f t="shared" ca="1" si="251"/>
        <v>100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t="shared" ca="1" si="247"/>
        <v>0</v>
      </c>
      <c r="P380" s="47">
        <f t="shared" ca="1" si="248"/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IFERROR(__xludf.DUMMYFUNCTION("IMPORTRANGE(""https://docs.google.com/spreadsheets/d/1ItG2mGa2ceCfYo0BwxsXqNm01IGEUdYcSSLTEv9YCik/edit?usp=sharing"",""เบิกจ่ายกองทุน!BY88"")"),62500)</f>
        <v>62500</v>
      </c>
      <c r="T380" s="47">
        <f t="shared" ca="1" si="250"/>
        <v>100</v>
      </c>
      <c r="U380" s="47">
        <f t="shared" ca="1" si="251"/>
        <v>100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IFERROR(__xludf.DUMMYFUNCTION("IMPORTRANGE(""https://docs.google.com/spreadsheets/d/1w5rwWK1o49a35cNtocGL0gxDwhFSTZUQu90BiH9_zqM/edit?usp=sharing"",""RTK!H88"")"),52)</f>
        <v>52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IFERROR(__xludf.DUMMYFUNCTION("IMPORTRANGE(""https://docs.google.com/spreadsheets/d/1w5rwWK1o49a35cNtocGL0gxDwhFSTZUQu90BiH9_zqM/edit?usp=sharing"",""RTK!G88"")"),1000)</f>
        <v>1000</v>
      </c>
      <c r="J386" s="372">
        <f ca="1">IFERROR(__xludf.DUMMYFUNCTION("IMPORTRANGE(""https://docs.google.com/spreadsheets/d/1w5rwWK1o49a35cNtocGL0gxDwhFSTZUQu90BiH9_zqM/edit?usp=sharing"",""RTK!I88"")"),912)</f>
        <v>912</v>
      </c>
      <c r="K386" s="47">
        <f t="shared" ca="1" si="258"/>
        <v>91.2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IFERROR(__xludf.DUMMYFUNCTION("IMPORTRANGE(""https://docs.google.com/spreadsheets/d/1w5rwWK1o49a35cNtocGL0gxDwhFSTZUQu90BiH9_zqM/edit?usp=sharing"",""RTK!L88"")"),0)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IFERROR(__xludf.DUMMYFUNCTION("IMPORTRANGE(""https://docs.google.com/spreadsheets/d/1w5rwWK1o49a35cNtocGL0gxDwhFSTZUQu90BiH9_zqM/edit?usp=sharing"",""RTK!K88"")"),0)</f>
        <v>0</v>
      </c>
      <c r="J388" s="351">
        <f ca="1">IFERROR(__xludf.DUMMYFUNCTION("IMPORTRANGE(""https://docs.google.com/spreadsheets/d/1w5rwWK1o49a35cNtocGL0gxDwhFSTZUQu90BiH9_zqM/edit?usp=sharing"",""RTK!M88"")"),0)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161615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787830</v>
      </c>
      <c r="M413" s="133">
        <f t="shared" ca="1" si="273"/>
        <v>1171325</v>
      </c>
      <c r="N413" s="133">
        <f t="shared" ca="1" si="273"/>
        <v>1037447.38</v>
      </c>
      <c r="O413" s="133">
        <f t="shared" ref="O413:O421" ca="1" si="274">IF(L413&gt;0,N413*100/L413,0)</f>
        <v>131.68416790424331</v>
      </c>
      <c r="P413" s="133">
        <f t="shared" ref="P413:P421" ca="1" si="275">IF(M413&gt;0,N413*100/M413,0)</f>
        <v>88.570412140097758</v>
      </c>
      <c r="Q413" s="133">
        <f t="shared" ref="Q413:S413" ca="1" si="276">Q414+Q415</f>
        <v>77750</v>
      </c>
      <c r="R413" s="133">
        <f t="shared" ca="1" si="276"/>
        <v>77750</v>
      </c>
      <c r="S413" s="133">
        <f t="shared" ca="1" si="276"/>
        <v>16203</v>
      </c>
      <c r="T413" s="133">
        <f t="shared" ref="T413:T421" ca="1" si="277">IF(Q413&gt;0,S413*100/Q413,0)</f>
        <v>20.839871382636655</v>
      </c>
      <c r="U413" s="133">
        <f t="shared" ref="U413:U421" ca="1" si="278">IF(R413&gt;0,S413*100/R413,0)</f>
        <v>20.839871382636655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787830</v>
      </c>
      <c r="M415" s="47">
        <f t="shared" ca="1" si="279"/>
        <v>1171325</v>
      </c>
      <c r="N415" s="47">
        <f t="shared" ca="1" si="279"/>
        <v>1037447.38</v>
      </c>
      <c r="O415" s="47">
        <f t="shared" ca="1" si="274"/>
        <v>131.68416790424331</v>
      </c>
      <c r="P415" s="47">
        <f t="shared" ca="1" si="275"/>
        <v>88.570412140097758</v>
      </c>
      <c r="Q415" s="47">
        <f t="shared" ca="1" si="280"/>
        <v>77750</v>
      </c>
      <c r="R415" s="47">
        <f t="shared" ca="1" si="280"/>
        <v>77750</v>
      </c>
      <c r="S415" s="47">
        <f t="shared" ca="1" si="280"/>
        <v>16203</v>
      </c>
      <c r="T415" s="47">
        <f t="shared" ca="1" si="277"/>
        <v>20.839871382636655</v>
      </c>
      <c r="U415" s="47">
        <f t="shared" ca="1" si="278"/>
        <v>20.839871382636655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787830</v>
      </c>
      <c r="M416" s="47">
        <f t="shared" ca="1" si="281"/>
        <v>1171325</v>
      </c>
      <c r="N416" s="47">
        <f t="shared" ca="1" si="281"/>
        <v>1037447.38</v>
      </c>
      <c r="O416" s="47">
        <f t="shared" ca="1" si="274"/>
        <v>131.68416790424331</v>
      </c>
      <c r="P416" s="47">
        <f t="shared" ca="1" si="275"/>
        <v>88.570412140097758</v>
      </c>
      <c r="Q416" s="47">
        <f t="shared" ref="Q416:S416" ca="1" si="282">Q417+Q418</f>
        <v>77750</v>
      </c>
      <c r="R416" s="47">
        <f t="shared" ca="1" si="282"/>
        <v>77750</v>
      </c>
      <c r="S416" s="47">
        <f t="shared" ca="1" si="282"/>
        <v>16203</v>
      </c>
      <c r="T416" s="47">
        <f t="shared" ca="1" si="277"/>
        <v>20.839871382636655</v>
      </c>
      <c r="U416" s="47">
        <f t="shared" ca="1" si="278"/>
        <v>20.839871382636655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IFERROR(__xludf.DUMMYFUNCTION("IMPORTRANGE(""https://docs.google.com/spreadsheets/d/1-uDff_7J0KD5mKrp0Vvzr7lt3OU09vwQwhkpOPPYv2Y/edit?usp=sharing"",""งบพรบ!IT88"")"),1171325)</f>
        <v>1171325</v>
      </c>
      <c r="N418" s="47">
        <f ca="1">IFERROR(__xludf.DUMMYFUNCTION("IMPORTRANGE(""https://docs.google.com/spreadsheets/d/1-uDff_7J0KD5mKrp0Vvzr7lt3OU09vwQwhkpOPPYv2Y/edit?usp=sharing"",""งบพรบ!IV88"")"),1037447.38)</f>
        <v>1037447.38</v>
      </c>
      <c r="O418" s="47">
        <f t="shared" ca="1" si="274"/>
        <v>131.68416790424331</v>
      </c>
      <c r="P418" s="47">
        <f t="shared" ca="1" si="275"/>
        <v>88.570412140097758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IFERROR(__xludf.DUMMYFUNCTION("IMPORTRANGE(""https://docs.google.com/spreadsheets/d/1ItG2mGa2ceCfYo0BwxsXqNm01IGEUdYcSSLTEv9YCik/edit?usp=sharing"",""เบิกจ่ายกองทุน!CB88"")"),16203)</f>
        <v>16203</v>
      </c>
      <c r="T418" s="47">
        <f t="shared" ca="1" si="277"/>
        <v>20.839871382636655</v>
      </c>
      <c r="U418" s="47">
        <f t="shared" ca="1" si="278"/>
        <v>20.839871382636655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ca="1">I440</f>
        <v>161615</v>
      </c>
      <c r="J423" s="749">
        <f>J432</f>
        <v>0</v>
      </c>
      <c r="K423" s="489">
        <f t="shared" ref="K423:K425" ca="1" si="285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IFERROR(__xludf.DUMMYFUNCTION("IMPORTRANGE(""https://docs.google.com/spreadsheets/d/1eHaY18a8A9IcSdp1K8H6x8fbOy06t2VsZHhMHf-1x7Y/edit?usp=sharing"",""แผน!HJ88"")"),161615)</f>
        <v>161615</v>
      </c>
      <c r="J424" s="751">
        <f t="shared" ref="J424:J425" si="286">J426+J428+J430</f>
        <v>161614</v>
      </c>
      <c r="K424" s="133">
        <f t="shared" ca="1" si="285"/>
        <v>99.999381245552698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IFERROR(__xludf.DUMMYFUNCTION("IMPORTRANGE(""https://docs.google.com/spreadsheets/d/1eHaY18a8A9IcSdp1K8H6x8fbOy06t2VsZHhMHf-1x7Y/edit?usp=sharing"",""แผน!HK88"")"),13644)</f>
        <v>13644</v>
      </c>
      <c r="J425" s="751">
        <f t="shared" si="286"/>
        <v>13644</v>
      </c>
      <c r="K425" s="133">
        <f t="shared" ca="1" si="285"/>
        <v>100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119260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10259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38923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3076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3431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309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IFERROR(__xludf.DUMMYFUNCTION("IMPORTRANGE(""https://docs.google.com/spreadsheets/d/1eHaY18a8A9IcSdp1K8H6x8fbOy06t2VsZHhMHf-1x7Y/edit?usp=sharing"",""แผน!HJ88"")"),161615)</f>
        <v>161615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IFERROR(__xludf.DUMMYFUNCTION("IMPORTRANGE(""https://docs.google.com/spreadsheets/d/1eHaY18a8A9IcSdp1K8H6x8fbOy06t2VsZHhMHf-1x7Y/edit?usp=sharing"",""แผน!HK88"")"),13644)</f>
        <v>13644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IFERROR(__xludf.DUMMYFUNCTION("IMPORTRANGE(""https://docs.google.com/spreadsheets/d/1eHaY18a8A9IcSdp1K8H6x8fbOy06t2VsZHhMHf-1x7Y/edit?usp=sharing"",""แผน!HJ88"")"),161615)</f>
        <v>161615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IFERROR(__xludf.DUMMYFUNCTION("IMPORTRANGE(""https://docs.google.com/spreadsheets/d/1eHaY18a8A9IcSdp1K8H6x8fbOy06t2VsZHhMHf-1x7Y/edit?usp=sharing"",""แผน!HK88"")"),13644)</f>
        <v>13644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6177.23</v>
      </c>
      <c r="J456" s="754">
        <f t="shared" si="292"/>
        <v>2800</v>
      </c>
      <c r="K456" s="489">
        <f t="shared" ref="K456:K458" ca="1" si="293">IF(I456&gt;0,J456*100/I456,0)</f>
        <v>45.327760177296298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IFERROR(__xludf.DUMMYFUNCTION("IMPORTRANGE(""https://docs.google.com/spreadsheets/d/1eHaY18a8A9IcSdp1K8H6x8fbOy06t2VsZHhMHf-1x7Y/edit?usp=sharing"",""แผน!HL88"")"),6177.23)</f>
        <v>6177.23</v>
      </c>
      <c r="J457" s="751">
        <f t="shared" ref="J457:J458" si="294">J459+J467+J473</f>
        <v>2800</v>
      </c>
      <c r="K457" s="133">
        <f t="shared" ca="1" si="293"/>
        <v>45.327760177296298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IFERROR(__xludf.DUMMYFUNCTION("IMPORTRANGE(""https://docs.google.com/spreadsheets/d/1eHaY18a8A9IcSdp1K8H6x8fbOy06t2VsZHhMHf-1x7Y/edit?usp=sharing"",""แผน!HM88"")"),589)</f>
        <v>589</v>
      </c>
      <c r="J458" s="751">
        <f t="shared" si="294"/>
        <v>255</v>
      </c>
      <c r="K458" s="133">
        <f t="shared" ca="1" si="293"/>
        <v>43.293718166383698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2726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246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2726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246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74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9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51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4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23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5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v>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v>0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932">
        <f ca="1">IFERROR(__xludf.DUMMYFUNCTION("IMPORTRANGE(""https://docs.google.com/spreadsheets/d/1eHaY18a8A9IcSdp1K8H6x8fbOy06t2VsZHhMHf-1x7Y/edit?usp=sharing"",""แผน!HO88"")"),161)</f>
        <v>161</v>
      </c>
      <c r="J484" s="763">
        <f t="shared" ref="J484:J485" si="299">J486+J488+J490</f>
        <v>0</v>
      </c>
      <c r="K484" s="764">
        <f t="shared" ref="K484:K485" ca="1" si="300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932">
        <f ca="1">IFERROR(__xludf.DUMMYFUNCTION("IMPORTRANGE(""https://docs.google.com/spreadsheets/d/1eHaY18a8A9IcSdp1K8H6x8fbOy06t2VsZHhMHf-1x7Y/edit?usp=sharing"",""แผน!HN88"")"),26)</f>
        <v>26</v>
      </c>
      <c r="J485" s="763">
        <f t="shared" si="299"/>
        <v>0</v>
      </c>
      <c r="K485" s="764">
        <f t="shared" ca="1" si="300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1">I503</f>
        <v>30</v>
      </c>
      <c r="J492" s="321">
        <f t="shared" si="301"/>
        <v>30</v>
      </c>
      <c r="K492" s="322">
        <f ca="1">IF(I492&gt;0,J492*100/I492,0)</f>
        <v>100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x14ac:dyDescent="0.3">
      <c r="A493" s="129"/>
      <c r="B493" s="160"/>
      <c r="C493" s="409" t="s">
        <v>18</v>
      </c>
      <c r="D493" s="770" t="s">
        <v>19</v>
      </c>
      <c r="E493" s="552"/>
      <c r="F493" s="552"/>
      <c r="G493" s="553"/>
      <c r="H493" s="240" t="s">
        <v>14</v>
      </c>
      <c r="I493" s="45"/>
      <c r="J493" s="45"/>
      <c r="K493" s="46"/>
      <c r="L493" s="617">
        <f t="shared" ref="L493:N493" ca="1" si="302">L494+L495</f>
        <v>24100</v>
      </c>
      <c r="M493" s="133">
        <f t="shared" ca="1" si="302"/>
        <v>24100</v>
      </c>
      <c r="N493" s="133">
        <f t="shared" ca="1" si="302"/>
        <v>24100</v>
      </c>
      <c r="O493" s="133">
        <f t="shared" ref="O493:O501" ca="1" si="303">IF(L493&gt;0,N493*100/L493,0)</f>
        <v>100</v>
      </c>
      <c r="P493" s="133">
        <f t="shared" ref="P493:P501" ca="1" si="304">IF(M493&gt;0,N493*100/M493,0)</f>
        <v>100</v>
      </c>
      <c r="Q493" s="133">
        <f t="shared" ref="Q493:S493" ca="1" si="305">Q494+Q495</f>
        <v>460185</v>
      </c>
      <c r="R493" s="133">
        <f t="shared" ca="1" si="305"/>
        <v>426088.34</v>
      </c>
      <c r="S493" s="133">
        <f t="shared" ca="1" si="305"/>
        <v>413088.34</v>
      </c>
      <c r="T493" s="133">
        <f t="shared" ref="T493:T501" ca="1" si="306">IF(Q493&gt;0,S493*100/Q493,0)</f>
        <v>89.765711615980535</v>
      </c>
      <c r="U493" s="133">
        <f t="shared" ref="U493:U501" ca="1" si="307">IF(R493&gt;0,S493*100/R493,0)</f>
        <v>96.948989498281037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8">L497+L500</f>
        <v>0</v>
      </c>
      <c r="M494" s="49">
        <f t="shared" si="308"/>
        <v>0</v>
      </c>
      <c r="N494" s="49">
        <f t="shared" si="308"/>
        <v>0</v>
      </c>
      <c r="O494" s="49">
        <f t="shared" si="303"/>
        <v>0</v>
      </c>
      <c r="P494" s="49">
        <f t="shared" si="304"/>
        <v>0</v>
      </c>
      <c r="Q494" s="49">
        <f t="shared" ref="Q494:S495" si="309">Q497+Q500</f>
        <v>0</v>
      </c>
      <c r="R494" s="49">
        <f t="shared" si="309"/>
        <v>0</v>
      </c>
      <c r="S494" s="49">
        <f t="shared" si="309"/>
        <v>0</v>
      </c>
      <c r="T494" s="49">
        <f t="shared" si="306"/>
        <v>0</v>
      </c>
      <c r="U494" s="49">
        <f t="shared" si="307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8"/>
        <v>24100</v>
      </c>
      <c r="M495" s="47">
        <f t="shared" ca="1" si="308"/>
        <v>24100</v>
      </c>
      <c r="N495" s="47">
        <f t="shared" ca="1" si="308"/>
        <v>24100</v>
      </c>
      <c r="O495" s="47">
        <f t="shared" ca="1" si="303"/>
        <v>100</v>
      </c>
      <c r="P495" s="47">
        <f t="shared" ca="1" si="304"/>
        <v>100</v>
      </c>
      <c r="Q495" s="47">
        <f t="shared" ca="1" si="309"/>
        <v>460185</v>
      </c>
      <c r="R495" s="47">
        <f t="shared" ca="1" si="309"/>
        <v>426088.34</v>
      </c>
      <c r="S495" s="47">
        <f t="shared" ca="1" si="309"/>
        <v>413088.34</v>
      </c>
      <c r="T495" s="47">
        <f t="shared" ca="1" si="306"/>
        <v>89.765711615980535</v>
      </c>
      <c r="U495" s="47">
        <f t="shared" ca="1" si="307"/>
        <v>96.948989498281037</v>
      </c>
    </row>
    <row r="496" spans="1:21" ht="18.75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0">L497+L498</f>
        <v>24100</v>
      </c>
      <c r="M496" s="47">
        <f t="shared" ca="1" si="310"/>
        <v>24100</v>
      </c>
      <c r="N496" s="47">
        <f t="shared" ca="1" si="310"/>
        <v>24100</v>
      </c>
      <c r="O496" s="47">
        <f t="shared" ca="1" si="303"/>
        <v>100</v>
      </c>
      <c r="P496" s="47">
        <f t="shared" ca="1" si="304"/>
        <v>100</v>
      </c>
      <c r="Q496" s="47">
        <f t="shared" ref="Q496:S496" ca="1" si="311">Q497+Q498</f>
        <v>460185</v>
      </c>
      <c r="R496" s="47">
        <f t="shared" ca="1" si="311"/>
        <v>426088.34</v>
      </c>
      <c r="S496" s="47">
        <f t="shared" ca="1" si="311"/>
        <v>413088.34</v>
      </c>
      <c r="T496" s="47">
        <f t="shared" ca="1" si="306"/>
        <v>89.765711615980535</v>
      </c>
      <c r="U496" s="47">
        <f t="shared" ca="1" si="307"/>
        <v>96.948989498281037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3"/>
        <v>0</v>
      </c>
      <c r="P497" s="49">
        <f t="shared" si="304"/>
        <v>0</v>
      </c>
      <c r="Q497" s="49">
        <v>0</v>
      </c>
      <c r="R497" s="49">
        <v>0</v>
      </c>
      <c r="S497" s="49">
        <v>0</v>
      </c>
      <c r="T497" s="49">
        <f t="shared" si="306"/>
        <v>0</v>
      </c>
      <c r="U497" s="49">
        <f t="shared" si="307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IFERROR(__xludf.DUMMYFUNCTION("IMPORTRANGE(""https://docs.google.com/spreadsheets/d/1-uDff_7J0KD5mKrp0Vvzr7lt3OU09vwQwhkpOPPYv2Y/edit?usp=sharing"",""งบพรบ!HZ88"")"),24100)</f>
        <v>24100</v>
      </c>
      <c r="N498" s="47">
        <f ca="1">IFERROR(__xludf.DUMMYFUNCTION("IMPORTRANGE(""https://docs.google.com/spreadsheets/d/1-uDff_7J0KD5mKrp0Vvzr7lt3OU09vwQwhkpOPPYv2Y/edit?usp=sharing"",""งบพรบ!IB88"")"),24100)</f>
        <v>24100</v>
      </c>
      <c r="O498" s="47">
        <f t="shared" ca="1" si="303"/>
        <v>100</v>
      </c>
      <c r="P498" s="47">
        <f t="shared" ca="1" si="304"/>
        <v>100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IFERROR(__xludf.DUMMYFUNCTION("IMPORTRANGE(""https://docs.google.com/spreadsheets/d/1ItG2mGa2ceCfYo0BwxsXqNm01IGEUdYcSSLTEv9YCik/edit?usp=sharing"",""เบิกจ่ายกองทุน!AE88"")"),426088.34)</f>
        <v>426088.34</v>
      </c>
      <c r="S498" s="47">
        <f ca="1">IFERROR(__xludf.DUMMYFUNCTION("IMPORTRANGE(""https://docs.google.com/spreadsheets/d/1ItG2mGa2ceCfYo0BwxsXqNm01IGEUdYcSSLTEv9YCik/edit?usp=sharing"",""เบิกจ่ายกองทุน!AF88"")"),413088.34)</f>
        <v>413088.34</v>
      </c>
      <c r="T498" s="47">
        <f t="shared" ca="1" si="306"/>
        <v>89.765711615980535</v>
      </c>
      <c r="U498" s="47">
        <f t="shared" ca="1" si="307"/>
        <v>96.948989498281037</v>
      </c>
    </row>
    <row r="499" spans="1:21" ht="18.75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2">L500+L501</f>
        <v>0</v>
      </c>
      <c r="M499" s="47">
        <f t="shared" ca="1" si="312"/>
        <v>0</v>
      </c>
      <c r="N499" s="47">
        <f t="shared" ca="1" si="312"/>
        <v>0</v>
      </c>
      <c r="O499" s="47">
        <f t="shared" ca="1" si="303"/>
        <v>0</v>
      </c>
      <c r="P499" s="47">
        <f t="shared" ca="1" si="304"/>
        <v>0</v>
      </c>
      <c r="Q499" s="47">
        <f t="shared" ref="Q499:S499" si="313">Q500+Q501</f>
        <v>0</v>
      </c>
      <c r="R499" s="47">
        <f t="shared" si="313"/>
        <v>0</v>
      </c>
      <c r="S499" s="47">
        <f t="shared" si="313"/>
        <v>0</v>
      </c>
      <c r="T499" s="47">
        <f t="shared" si="306"/>
        <v>0</v>
      </c>
      <c r="U499" s="47">
        <f t="shared" si="307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3"/>
        <v>0</v>
      </c>
      <c r="P500" s="49">
        <f t="shared" si="304"/>
        <v>0</v>
      </c>
      <c r="Q500" s="49">
        <v>0</v>
      </c>
      <c r="R500" s="49">
        <v>0</v>
      </c>
      <c r="S500" s="49">
        <v>0</v>
      </c>
      <c r="T500" s="49">
        <f t="shared" si="306"/>
        <v>0</v>
      </c>
      <c r="U500" s="49">
        <f t="shared" si="307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t="shared" ca="1" si="303"/>
        <v>0</v>
      </c>
      <c r="P501" s="47">
        <f t="shared" ca="1" si="304"/>
        <v>0</v>
      </c>
      <c r="Q501" s="47">
        <v>0</v>
      </c>
      <c r="R501" s="47">
        <v>0</v>
      </c>
      <c r="S501" s="47">
        <v>0</v>
      </c>
      <c r="T501" s="47">
        <f t="shared" si="306"/>
        <v>0</v>
      </c>
      <c r="U501" s="47">
        <f t="shared" si="307"/>
        <v>0</v>
      </c>
    </row>
    <row r="502" spans="1:21" ht="19.5" x14ac:dyDescent="0.3">
      <c r="A502" s="139"/>
      <c r="B502" s="140"/>
      <c r="C502" s="409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IFERROR(__xludf.DUMMYFUNCTION("IMPORTRANGE(""https://docs.google.com/spreadsheets/d/1eHaY18a8A9IcSdp1K8H6x8fbOy06t2VsZHhMHf-1x7Y/edit?usp=sharing"",""แผน!GX88"")"),30)</f>
        <v>30</v>
      </c>
      <c r="J503" s="371">
        <f>J504</f>
        <v>30</v>
      </c>
      <c r="K503" s="133">
        <f t="shared" ref="K503:K509" ca="1" si="314">IF(I503&gt;0,J503*100/I503,0)</f>
        <v>100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IFERROR(__xludf.DUMMYFUNCTION("IMPORTRANGE(""https://docs.google.com/spreadsheets/d/1eHaY18a8A9IcSdp1K8H6x8fbOy06t2VsZHhMHf-1x7Y/edit?usp=sharing"",""แผน!GY88"")"),30)</f>
        <v>30</v>
      </c>
      <c r="J504" s="169">
        <v>30</v>
      </c>
      <c r="K504" s="47">
        <f t="shared" ca="1" si="314"/>
        <v>100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IFERROR(__xludf.DUMMYFUNCTION("IMPORTRANGE(""https://docs.google.com/spreadsheets/d/1eHaY18a8A9IcSdp1K8H6x8fbOy06t2VsZHhMHf-1x7Y/edit?usp=sharing"",""แผน!GZ88"")"),30)</f>
        <v>30</v>
      </c>
      <c r="J505" s="169">
        <v>30</v>
      </c>
      <c r="K505" s="47">
        <f t="shared" ca="1" si="314"/>
        <v>100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IFERROR(__xludf.DUMMYFUNCTION("IMPORTRANGE(""https://docs.google.com/spreadsheets/d/1eHaY18a8A9IcSdp1K8H6x8fbOy06t2VsZHhMHf-1x7Y/edit?usp=sharing"",""แผน!HA88"")"),30)</f>
        <v>30</v>
      </c>
      <c r="J506" s="169">
        <v>30</v>
      </c>
      <c r="K506" s="47">
        <f t="shared" ca="1" si="314"/>
        <v>100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IFERROR(__xludf.DUMMYFUNCTION("IMPORTRANGE(""https://docs.google.com/spreadsheets/d/1eHaY18a8A9IcSdp1K8H6x8fbOy06t2VsZHhMHf-1x7Y/edit?usp=sharing"",""แผน!HB88"")"),10)</f>
        <v>10</v>
      </c>
      <c r="J507" s="169">
        <v>10</v>
      </c>
      <c r="K507" s="47">
        <f t="shared" ca="1" si="314"/>
        <v>100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4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IFERROR(__xludf.DUMMYFUNCTION("IMPORTRANGE(""https://docs.google.com/spreadsheets/d/1eHaY18a8A9IcSdp1K8H6x8fbOy06t2VsZHhMHf-1x7Y/edit?usp=sharing"",""แผน!HC88"")"),0)</f>
        <v>0</v>
      </c>
      <c r="J509" s="378">
        <v>30</v>
      </c>
      <c r="K509" s="111">
        <f t="shared" ca="1" si="314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850"/>
      <c r="M510" s="851"/>
      <c r="N510" s="851"/>
      <c r="O510" s="851"/>
      <c r="P510" s="851"/>
      <c r="Q510" s="851"/>
      <c r="R510" s="851"/>
      <c r="S510" s="851"/>
      <c r="T510" s="851"/>
      <c r="U510" s="851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5">I524</f>
        <v>0</v>
      </c>
      <c r="J512" s="855">
        <f t="shared" si="315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6">L514+L515</f>
        <v>0</v>
      </c>
      <c r="M513" s="133">
        <f t="shared" ca="1" si="316"/>
        <v>0</v>
      </c>
      <c r="N513" s="133">
        <f t="shared" ca="1" si="316"/>
        <v>0</v>
      </c>
      <c r="O513" s="133">
        <f t="shared" ref="O513:O521" ca="1" si="317">IF(L513&gt;0,N513*100/L513,0)</f>
        <v>0</v>
      </c>
      <c r="P513" s="133">
        <f t="shared" ref="P513:P521" ca="1" si="318">IF(M513&gt;0,N513*100/M513,0)</f>
        <v>0</v>
      </c>
      <c r="Q513" s="133">
        <f t="shared" ref="Q513:S513" si="319">Q514+Q515</f>
        <v>0</v>
      </c>
      <c r="R513" s="133">
        <f t="shared" si="319"/>
        <v>0</v>
      </c>
      <c r="S513" s="133">
        <f t="shared" si="319"/>
        <v>0</v>
      </c>
      <c r="T513" s="133">
        <f t="shared" ref="T513:T521" si="320">IF(Q513&gt;0,S513*100/Q513,0)</f>
        <v>0</v>
      </c>
      <c r="U513" s="133">
        <f t="shared" ref="U513:U521" si="321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2">L517+L520</f>
        <v>0</v>
      </c>
      <c r="M514" s="49">
        <f t="shared" si="322"/>
        <v>0</v>
      </c>
      <c r="N514" s="49">
        <f t="shared" si="322"/>
        <v>0</v>
      </c>
      <c r="O514" s="49">
        <f t="shared" si="317"/>
        <v>0</v>
      </c>
      <c r="P514" s="49">
        <f t="shared" si="318"/>
        <v>0</v>
      </c>
      <c r="Q514" s="49">
        <f t="shared" ref="Q514:S515" si="323">Q517+Q520</f>
        <v>0</v>
      </c>
      <c r="R514" s="49">
        <f t="shared" si="323"/>
        <v>0</v>
      </c>
      <c r="S514" s="49">
        <f t="shared" si="323"/>
        <v>0</v>
      </c>
      <c r="T514" s="49">
        <f t="shared" si="320"/>
        <v>0</v>
      </c>
      <c r="U514" s="49">
        <f t="shared" si="321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2"/>
        <v>0</v>
      </c>
      <c r="M515" s="47">
        <f t="shared" ca="1" si="322"/>
        <v>0</v>
      </c>
      <c r="N515" s="47">
        <f t="shared" ca="1" si="322"/>
        <v>0</v>
      </c>
      <c r="O515" s="47">
        <f t="shared" ca="1" si="317"/>
        <v>0</v>
      </c>
      <c r="P515" s="47">
        <f t="shared" ca="1" si="318"/>
        <v>0</v>
      </c>
      <c r="Q515" s="47">
        <f t="shared" si="323"/>
        <v>0</v>
      </c>
      <c r="R515" s="47">
        <f t="shared" si="323"/>
        <v>0</v>
      </c>
      <c r="S515" s="47">
        <f t="shared" si="323"/>
        <v>0</v>
      </c>
      <c r="T515" s="47">
        <f t="shared" si="320"/>
        <v>0</v>
      </c>
      <c r="U515" s="47">
        <f t="shared" si="321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4">L517+L518</f>
        <v>0</v>
      </c>
      <c r="M516" s="47">
        <f t="shared" ca="1" si="324"/>
        <v>0</v>
      </c>
      <c r="N516" s="47">
        <f t="shared" ca="1" si="324"/>
        <v>0</v>
      </c>
      <c r="O516" s="47">
        <f t="shared" ca="1" si="317"/>
        <v>0</v>
      </c>
      <c r="P516" s="47">
        <f t="shared" ca="1" si="318"/>
        <v>0</v>
      </c>
      <c r="Q516" s="47">
        <f t="shared" ref="Q516:S516" si="325">Q517+Q518</f>
        <v>0</v>
      </c>
      <c r="R516" s="47">
        <f t="shared" si="325"/>
        <v>0</v>
      </c>
      <c r="S516" s="47">
        <f t="shared" si="325"/>
        <v>0</v>
      </c>
      <c r="T516" s="47">
        <f t="shared" si="320"/>
        <v>0</v>
      </c>
      <c r="U516" s="47">
        <f t="shared" si="321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7"/>
        <v>0</v>
      </c>
      <c r="P517" s="49">
        <f t="shared" si="318"/>
        <v>0</v>
      </c>
      <c r="Q517" s="49">
        <v>0</v>
      </c>
      <c r="R517" s="49">
        <v>0</v>
      </c>
      <c r="S517" s="49">
        <v>0</v>
      </c>
      <c r="T517" s="49">
        <f t="shared" si="320"/>
        <v>0</v>
      </c>
      <c r="U517" s="49">
        <f t="shared" si="321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t="shared" ca="1" si="317"/>
        <v>0</v>
      </c>
      <c r="P518" s="47">
        <f t="shared" ca="1" si="318"/>
        <v>0</v>
      </c>
      <c r="Q518" s="47">
        <v>0</v>
      </c>
      <c r="R518" s="47">
        <v>0</v>
      </c>
      <c r="S518" s="47">
        <v>0</v>
      </c>
      <c r="T518" s="47">
        <f t="shared" si="320"/>
        <v>0</v>
      </c>
      <c r="U518" s="47">
        <f t="shared" si="321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6">L520+L521</f>
        <v>0</v>
      </c>
      <c r="M519" s="47">
        <f t="shared" ca="1" si="326"/>
        <v>0</v>
      </c>
      <c r="N519" s="47">
        <f t="shared" ca="1" si="326"/>
        <v>0</v>
      </c>
      <c r="O519" s="47">
        <f t="shared" ca="1" si="317"/>
        <v>0</v>
      </c>
      <c r="P519" s="47">
        <f t="shared" ca="1" si="318"/>
        <v>0</v>
      </c>
      <c r="Q519" s="47">
        <f t="shared" ref="Q519:S519" si="327">Q520+Q521</f>
        <v>0</v>
      </c>
      <c r="R519" s="47">
        <f t="shared" si="327"/>
        <v>0</v>
      </c>
      <c r="S519" s="47">
        <f t="shared" si="327"/>
        <v>0</v>
      </c>
      <c r="T519" s="47">
        <f t="shared" si="320"/>
        <v>0</v>
      </c>
      <c r="U519" s="47">
        <f t="shared" si="321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7"/>
        <v>0</v>
      </c>
      <c r="P520" s="49">
        <f t="shared" si="318"/>
        <v>0</v>
      </c>
      <c r="Q520" s="49">
        <v>0</v>
      </c>
      <c r="R520" s="49">
        <v>0</v>
      </c>
      <c r="S520" s="49">
        <v>0</v>
      </c>
      <c r="T520" s="49">
        <f t="shared" si="320"/>
        <v>0</v>
      </c>
      <c r="U520" s="49">
        <f t="shared" si="321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t="shared" ca="1" si="317"/>
        <v>0</v>
      </c>
      <c r="P521" s="47">
        <f t="shared" ca="1" si="318"/>
        <v>0</v>
      </c>
      <c r="Q521" s="47">
        <v>0</v>
      </c>
      <c r="R521" s="47">
        <v>0</v>
      </c>
      <c r="S521" s="47">
        <v>0</v>
      </c>
      <c r="T521" s="47">
        <f t="shared" si="320"/>
        <v>0</v>
      </c>
      <c r="U521" s="47">
        <f t="shared" si="321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8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8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29">I545</f>
        <v>0</v>
      </c>
      <c r="J533" s="818">
        <f t="shared" si="329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0">L535+L536</f>
        <v>0</v>
      </c>
      <c r="M534" s="133">
        <f t="shared" ca="1" si="330"/>
        <v>0</v>
      </c>
      <c r="N534" s="133">
        <f t="shared" ca="1" si="330"/>
        <v>0</v>
      </c>
      <c r="O534" s="133">
        <f t="shared" ref="O534:O542" ca="1" si="331">IF(L534&gt;0,N534*100/L534,0)</f>
        <v>0</v>
      </c>
      <c r="P534" s="133">
        <f t="shared" ref="P534:P542" ca="1" si="332">IF(M534&gt;0,N534*100/M534,0)</f>
        <v>0</v>
      </c>
      <c r="Q534" s="133">
        <f t="shared" ref="Q534:S534" si="333">Q535+Q536</f>
        <v>0</v>
      </c>
      <c r="R534" s="133">
        <f t="shared" si="333"/>
        <v>0</v>
      </c>
      <c r="S534" s="133">
        <f t="shared" si="333"/>
        <v>0</v>
      </c>
      <c r="T534" s="133">
        <f t="shared" ref="T534:T542" si="334">IF(Q534&gt;0,S534*100/Q534,0)</f>
        <v>0</v>
      </c>
      <c r="U534" s="133">
        <f t="shared" ref="U534:U542" si="335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6">L538+L541</f>
        <v>0</v>
      </c>
      <c r="M535" s="49">
        <f t="shared" si="336"/>
        <v>0</v>
      </c>
      <c r="N535" s="49">
        <f t="shared" si="336"/>
        <v>0</v>
      </c>
      <c r="O535" s="49">
        <f t="shared" si="331"/>
        <v>0</v>
      </c>
      <c r="P535" s="49">
        <f t="shared" si="332"/>
        <v>0</v>
      </c>
      <c r="Q535" s="49">
        <f t="shared" ref="Q535:S536" si="337">Q538+Q541</f>
        <v>0</v>
      </c>
      <c r="R535" s="49">
        <f t="shared" si="337"/>
        <v>0</v>
      </c>
      <c r="S535" s="49">
        <f t="shared" si="337"/>
        <v>0</v>
      </c>
      <c r="T535" s="49">
        <f t="shared" si="334"/>
        <v>0</v>
      </c>
      <c r="U535" s="49">
        <f t="shared" si="335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6"/>
        <v>0</v>
      </c>
      <c r="M536" s="47">
        <f t="shared" ca="1" si="336"/>
        <v>0</v>
      </c>
      <c r="N536" s="47">
        <f t="shared" ca="1" si="336"/>
        <v>0</v>
      </c>
      <c r="O536" s="47">
        <f t="shared" ca="1" si="331"/>
        <v>0</v>
      </c>
      <c r="P536" s="47">
        <f t="shared" ca="1" si="332"/>
        <v>0</v>
      </c>
      <c r="Q536" s="47">
        <f t="shared" si="337"/>
        <v>0</v>
      </c>
      <c r="R536" s="47">
        <f t="shared" si="337"/>
        <v>0</v>
      </c>
      <c r="S536" s="47">
        <f t="shared" si="337"/>
        <v>0</v>
      </c>
      <c r="T536" s="47">
        <f t="shared" si="334"/>
        <v>0</v>
      </c>
      <c r="U536" s="47">
        <f t="shared" si="335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8">L538+L539</f>
        <v>0</v>
      </c>
      <c r="M537" s="47">
        <f t="shared" ca="1" si="338"/>
        <v>0</v>
      </c>
      <c r="N537" s="47">
        <f t="shared" ca="1" si="338"/>
        <v>0</v>
      </c>
      <c r="O537" s="47">
        <f t="shared" ca="1" si="331"/>
        <v>0</v>
      </c>
      <c r="P537" s="47">
        <f t="shared" ca="1" si="332"/>
        <v>0</v>
      </c>
      <c r="Q537" s="47">
        <f t="shared" ref="Q537:S537" si="339">Q538+Q539</f>
        <v>0</v>
      </c>
      <c r="R537" s="47">
        <f t="shared" si="339"/>
        <v>0</v>
      </c>
      <c r="S537" s="47">
        <f t="shared" si="339"/>
        <v>0</v>
      </c>
      <c r="T537" s="47">
        <f t="shared" si="334"/>
        <v>0</v>
      </c>
      <c r="U537" s="47">
        <f t="shared" si="335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1"/>
        <v>0</v>
      </c>
      <c r="P538" s="49">
        <f t="shared" si="332"/>
        <v>0</v>
      </c>
      <c r="Q538" s="49">
        <v>0</v>
      </c>
      <c r="R538" s="49">
        <v>0</v>
      </c>
      <c r="S538" s="49">
        <v>0</v>
      </c>
      <c r="T538" s="49">
        <f t="shared" si="334"/>
        <v>0</v>
      </c>
      <c r="U538" s="49">
        <f t="shared" si="335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t="shared" ca="1" si="331"/>
        <v>0</v>
      </c>
      <c r="P539" s="47">
        <f t="shared" ca="1" si="332"/>
        <v>0</v>
      </c>
      <c r="Q539" s="47">
        <v>0</v>
      </c>
      <c r="R539" s="47">
        <v>0</v>
      </c>
      <c r="S539" s="47">
        <v>0</v>
      </c>
      <c r="T539" s="47">
        <f t="shared" si="334"/>
        <v>0</v>
      </c>
      <c r="U539" s="47">
        <f t="shared" si="335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0">L541+L542</f>
        <v>0</v>
      </c>
      <c r="M540" s="47">
        <f t="shared" ca="1" si="340"/>
        <v>0</v>
      </c>
      <c r="N540" s="47">
        <f t="shared" ca="1" si="340"/>
        <v>0</v>
      </c>
      <c r="O540" s="47">
        <f t="shared" ca="1" si="331"/>
        <v>0</v>
      </c>
      <c r="P540" s="47">
        <f t="shared" ca="1" si="332"/>
        <v>0</v>
      </c>
      <c r="Q540" s="47">
        <f t="shared" ref="Q540:S540" si="341">Q541+Q542</f>
        <v>0</v>
      </c>
      <c r="R540" s="47">
        <f t="shared" si="341"/>
        <v>0</v>
      </c>
      <c r="S540" s="47">
        <f t="shared" si="341"/>
        <v>0</v>
      </c>
      <c r="T540" s="47">
        <f t="shared" si="334"/>
        <v>0</v>
      </c>
      <c r="U540" s="47">
        <f t="shared" si="335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1"/>
        <v>0</v>
      </c>
      <c r="P541" s="49">
        <f t="shared" si="332"/>
        <v>0</v>
      </c>
      <c r="Q541" s="49">
        <v>0</v>
      </c>
      <c r="R541" s="49">
        <v>0</v>
      </c>
      <c r="S541" s="49">
        <v>0</v>
      </c>
      <c r="T541" s="49">
        <f t="shared" si="334"/>
        <v>0</v>
      </c>
      <c r="U541" s="49">
        <f t="shared" si="335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t="shared" ca="1" si="331"/>
        <v>0</v>
      </c>
      <c r="P542" s="47">
        <f t="shared" ca="1" si="332"/>
        <v>0</v>
      </c>
      <c r="Q542" s="47">
        <v>0</v>
      </c>
      <c r="R542" s="47">
        <v>0</v>
      </c>
      <c r="S542" s="47">
        <v>0</v>
      </c>
      <c r="T542" s="47">
        <f t="shared" si="334"/>
        <v>0</v>
      </c>
      <c r="U542" s="47">
        <f t="shared" si="335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2">I566</f>
        <v>0</v>
      </c>
      <c r="J554" s="818">
        <f t="shared" si="342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3">L556+L557</f>
        <v>0</v>
      </c>
      <c r="M555" s="133">
        <f t="shared" ca="1" si="343"/>
        <v>0</v>
      </c>
      <c r="N555" s="133">
        <f t="shared" ca="1" si="343"/>
        <v>0</v>
      </c>
      <c r="O555" s="133">
        <f t="shared" ref="O555:O563" ca="1" si="344">IF(L555&gt;0,N555*100/L555,0)</f>
        <v>0</v>
      </c>
      <c r="P555" s="133">
        <f t="shared" ref="P555:P563" ca="1" si="345">IF(M555&gt;0,N555*100/M555,0)</f>
        <v>0</v>
      </c>
      <c r="Q555" s="133">
        <f t="shared" ref="Q555:S555" si="346">Q556+Q557</f>
        <v>0</v>
      </c>
      <c r="R555" s="133">
        <f t="shared" si="346"/>
        <v>0</v>
      </c>
      <c r="S555" s="133">
        <f t="shared" si="346"/>
        <v>0</v>
      </c>
      <c r="T555" s="133">
        <f t="shared" ref="T555:T563" si="347">IF(Q555&gt;0,S555*100/Q555,0)</f>
        <v>0</v>
      </c>
      <c r="U555" s="133">
        <f t="shared" ref="U555:U563" si="348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49">L559+L562</f>
        <v>0</v>
      </c>
      <c r="M556" s="49">
        <f t="shared" si="349"/>
        <v>0</v>
      </c>
      <c r="N556" s="49">
        <f t="shared" si="349"/>
        <v>0</v>
      </c>
      <c r="O556" s="49">
        <f t="shared" si="344"/>
        <v>0</v>
      </c>
      <c r="P556" s="49">
        <f t="shared" si="345"/>
        <v>0</v>
      </c>
      <c r="Q556" s="49">
        <f t="shared" ref="Q556:S557" si="350">Q559+Q562</f>
        <v>0</v>
      </c>
      <c r="R556" s="49">
        <f t="shared" si="350"/>
        <v>0</v>
      </c>
      <c r="S556" s="49">
        <f t="shared" si="350"/>
        <v>0</v>
      </c>
      <c r="T556" s="49">
        <f t="shared" si="347"/>
        <v>0</v>
      </c>
      <c r="U556" s="49">
        <f t="shared" si="348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49"/>
        <v>0</v>
      </c>
      <c r="M557" s="47">
        <f t="shared" ca="1" si="349"/>
        <v>0</v>
      </c>
      <c r="N557" s="47">
        <f t="shared" ca="1" si="349"/>
        <v>0</v>
      </c>
      <c r="O557" s="47">
        <f t="shared" ca="1" si="344"/>
        <v>0</v>
      </c>
      <c r="P557" s="47">
        <f t="shared" ca="1" si="345"/>
        <v>0</v>
      </c>
      <c r="Q557" s="47">
        <f t="shared" si="350"/>
        <v>0</v>
      </c>
      <c r="R557" s="47">
        <f t="shared" si="350"/>
        <v>0</v>
      </c>
      <c r="S557" s="47">
        <f t="shared" si="350"/>
        <v>0</v>
      </c>
      <c r="T557" s="47">
        <f t="shared" si="347"/>
        <v>0</v>
      </c>
      <c r="U557" s="47">
        <f t="shared" si="348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1">L559+L560</f>
        <v>0</v>
      </c>
      <c r="M558" s="47">
        <f t="shared" ca="1" si="351"/>
        <v>0</v>
      </c>
      <c r="N558" s="47">
        <f t="shared" ca="1" si="351"/>
        <v>0</v>
      </c>
      <c r="O558" s="47">
        <f t="shared" ca="1" si="344"/>
        <v>0</v>
      </c>
      <c r="P558" s="47">
        <f t="shared" ca="1" si="345"/>
        <v>0</v>
      </c>
      <c r="Q558" s="47">
        <f t="shared" ref="Q558:S558" si="352">Q559+Q560</f>
        <v>0</v>
      </c>
      <c r="R558" s="47">
        <f t="shared" si="352"/>
        <v>0</v>
      </c>
      <c r="S558" s="47">
        <f t="shared" si="352"/>
        <v>0</v>
      </c>
      <c r="T558" s="47">
        <f t="shared" si="347"/>
        <v>0</v>
      </c>
      <c r="U558" s="47">
        <f t="shared" si="348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4"/>
        <v>0</v>
      </c>
      <c r="P559" s="49">
        <f t="shared" si="345"/>
        <v>0</v>
      </c>
      <c r="Q559" s="49">
        <v>0</v>
      </c>
      <c r="R559" s="49">
        <v>0</v>
      </c>
      <c r="S559" s="49">
        <v>0</v>
      </c>
      <c r="T559" s="49">
        <f t="shared" si="347"/>
        <v>0</v>
      </c>
      <c r="U559" s="49">
        <f t="shared" si="348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t="shared" ca="1" si="344"/>
        <v>0</v>
      </c>
      <c r="P560" s="47">
        <f t="shared" ca="1" si="345"/>
        <v>0</v>
      </c>
      <c r="Q560" s="47">
        <v>0</v>
      </c>
      <c r="R560" s="47">
        <v>0</v>
      </c>
      <c r="S560" s="47">
        <v>0</v>
      </c>
      <c r="T560" s="47">
        <f t="shared" si="347"/>
        <v>0</v>
      </c>
      <c r="U560" s="47">
        <f t="shared" si="348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3">L562+L563</f>
        <v>0</v>
      </c>
      <c r="M561" s="47">
        <f t="shared" ca="1" si="353"/>
        <v>0</v>
      </c>
      <c r="N561" s="47">
        <f t="shared" ca="1" si="353"/>
        <v>0</v>
      </c>
      <c r="O561" s="47">
        <f t="shared" ca="1" si="344"/>
        <v>0</v>
      </c>
      <c r="P561" s="47">
        <f t="shared" ca="1" si="345"/>
        <v>0</v>
      </c>
      <c r="Q561" s="47">
        <f t="shared" ref="Q561:S561" si="354">Q562+Q563</f>
        <v>0</v>
      </c>
      <c r="R561" s="47">
        <f t="shared" si="354"/>
        <v>0</v>
      </c>
      <c r="S561" s="47">
        <f t="shared" si="354"/>
        <v>0</v>
      </c>
      <c r="T561" s="47">
        <f t="shared" si="347"/>
        <v>0</v>
      </c>
      <c r="U561" s="47">
        <f t="shared" si="348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4"/>
        <v>0</v>
      </c>
      <c r="P562" s="49">
        <f t="shared" si="345"/>
        <v>0</v>
      </c>
      <c r="Q562" s="49">
        <v>0</v>
      </c>
      <c r="R562" s="49">
        <v>0</v>
      </c>
      <c r="S562" s="49">
        <v>0</v>
      </c>
      <c r="T562" s="49">
        <f t="shared" si="347"/>
        <v>0</v>
      </c>
      <c r="U562" s="49">
        <f t="shared" si="348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t="shared" ca="1" si="344"/>
        <v>0</v>
      </c>
      <c r="P563" s="47">
        <f t="shared" ca="1" si="345"/>
        <v>0</v>
      </c>
      <c r="Q563" s="47">
        <v>0</v>
      </c>
      <c r="R563" s="47">
        <v>0</v>
      </c>
      <c r="S563" s="47">
        <v>0</v>
      </c>
      <c r="T563" s="47">
        <f t="shared" si="347"/>
        <v>0</v>
      </c>
      <c r="U563" s="47">
        <f t="shared" si="348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si="355">I587</f>
        <v>15</v>
      </c>
      <c r="J575" s="408">
        <f t="shared" si="355"/>
        <v>15</v>
      </c>
      <c r="K575" s="400">
        <f>IF(I575&gt;0,J575*100/I575,0)</f>
        <v>100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200"/>
      <c r="C576" s="40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6">L577+L578</f>
        <v>807875</v>
      </c>
      <c r="M576" s="133">
        <f t="shared" ca="1" si="356"/>
        <v>807875</v>
      </c>
      <c r="N576" s="133">
        <f t="shared" ca="1" si="356"/>
        <v>807295</v>
      </c>
      <c r="O576" s="133">
        <f t="shared" ref="O576:O584" ca="1" si="357">IF(L576&gt;0,N576*100/L576,0)</f>
        <v>99.928206715147766</v>
      </c>
      <c r="P576" s="133">
        <f t="shared" ref="P576:P584" ca="1" si="358">IF(M576&gt;0,N576*100/M576,0)</f>
        <v>99.928206715147766</v>
      </c>
      <c r="Q576" s="133">
        <f t="shared" ref="Q576:S576" si="359">Q577+Q578</f>
        <v>0</v>
      </c>
      <c r="R576" s="133">
        <f t="shared" si="359"/>
        <v>0</v>
      </c>
      <c r="S576" s="133">
        <f t="shared" si="359"/>
        <v>0</v>
      </c>
      <c r="T576" s="133">
        <f t="shared" ref="T576:T584" si="360">IF(Q576&gt;0,S576*100/Q576,0)</f>
        <v>0</v>
      </c>
      <c r="U576" s="133">
        <f t="shared" ref="U576:U584" si="361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2">L580+L583</f>
        <v>0</v>
      </c>
      <c r="M577" s="49">
        <f t="shared" si="362"/>
        <v>0</v>
      </c>
      <c r="N577" s="49">
        <f t="shared" si="362"/>
        <v>0</v>
      </c>
      <c r="O577" s="49">
        <f t="shared" si="357"/>
        <v>0</v>
      </c>
      <c r="P577" s="49">
        <f t="shared" si="358"/>
        <v>0</v>
      </c>
      <c r="Q577" s="49">
        <f t="shared" ref="Q577:S578" si="363">Q580+Q583</f>
        <v>0</v>
      </c>
      <c r="R577" s="49">
        <f t="shared" si="363"/>
        <v>0</v>
      </c>
      <c r="S577" s="49">
        <f t="shared" si="363"/>
        <v>0</v>
      </c>
      <c r="T577" s="49">
        <f t="shared" si="360"/>
        <v>0</v>
      </c>
      <c r="U577" s="49">
        <f t="shared" si="361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2"/>
        <v>807875</v>
      </c>
      <c r="M578" s="47">
        <f t="shared" ca="1" si="362"/>
        <v>807875</v>
      </c>
      <c r="N578" s="47">
        <f t="shared" ca="1" si="362"/>
        <v>807295</v>
      </c>
      <c r="O578" s="47">
        <f t="shared" ca="1" si="357"/>
        <v>99.928206715147766</v>
      </c>
      <c r="P578" s="47">
        <f t="shared" ca="1" si="358"/>
        <v>99.928206715147766</v>
      </c>
      <c r="Q578" s="47">
        <f t="shared" si="363"/>
        <v>0</v>
      </c>
      <c r="R578" s="47">
        <f t="shared" si="363"/>
        <v>0</v>
      </c>
      <c r="S578" s="47">
        <f t="shared" si="363"/>
        <v>0</v>
      </c>
      <c r="T578" s="47">
        <f t="shared" si="360"/>
        <v>0</v>
      </c>
      <c r="U578" s="47">
        <f t="shared" si="361"/>
        <v>0</v>
      </c>
    </row>
    <row r="579" spans="1:21" ht="18.75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4">L580+L581</f>
        <v>807875</v>
      </c>
      <c r="M579" s="47">
        <f t="shared" ca="1" si="364"/>
        <v>807875</v>
      </c>
      <c r="N579" s="47">
        <f t="shared" ca="1" si="364"/>
        <v>807295</v>
      </c>
      <c r="O579" s="47">
        <f t="shared" ca="1" si="357"/>
        <v>99.928206715147766</v>
      </c>
      <c r="P579" s="47">
        <f t="shared" ca="1" si="358"/>
        <v>99.928206715147766</v>
      </c>
      <c r="Q579" s="47">
        <f t="shared" ref="Q579:S579" si="365">Q580+Q581</f>
        <v>0</v>
      </c>
      <c r="R579" s="47">
        <f t="shared" si="365"/>
        <v>0</v>
      </c>
      <c r="S579" s="47">
        <f t="shared" si="365"/>
        <v>0</v>
      </c>
      <c r="T579" s="47">
        <f t="shared" si="360"/>
        <v>0</v>
      </c>
      <c r="U579" s="47">
        <f t="shared" si="361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7"/>
        <v>0</v>
      </c>
      <c r="P580" s="49">
        <f t="shared" si="358"/>
        <v>0</v>
      </c>
      <c r="Q580" s="49">
        <v>0</v>
      </c>
      <c r="R580" s="49">
        <v>0</v>
      </c>
      <c r="S580" s="49">
        <v>0</v>
      </c>
      <c r="T580" s="49">
        <f t="shared" si="360"/>
        <v>0</v>
      </c>
      <c r="U580" s="49">
        <f t="shared" si="361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IFERROR(__xludf.DUMMYFUNCTION("IMPORTRANGE(""https://docs.google.com/spreadsheets/d/1-uDff_7J0KD5mKrp0Vvzr7lt3OU09vwQwhkpOPPYv2Y/edit?usp=sharing"",""งบพรบ!GV88"")"),807875)</f>
        <v>807875</v>
      </c>
      <c r="N581" s="47">
        <f ca="1">IFERROR(__xludf.DUMMYFUNCTION("IMPORTRANGE(""https://docs.google.com/spreadsheets/d/1-uDff_7J0KD5mKrp0Vvzr7lt3OU09vwQwhkpOPPYv2Y/edit?usp=sharing"",""งบพรบ!GX88"")"),807295)</f>
        <v>807295</v>
      </c>
      <c r="O581" s="47">
        <f t="shared" ca="1" si="357"/>
        <v>99.928206715147766</v>
      </c>
      <c r="P581" s="47">
        <f t="shared" ca="1" si="358"/>
        <v>99.928206715147766</v>
      </c>
      <c r="Q581" s="47">
        <v>0</v>
      </c>
      <c r="R581" s="47">
        <v>0</v>
      </c>
      <c r="S581" s="47">
        <v>0</v>
      </c>
      <c r="T581" s="47">
        <f t="shared" si="360"/>
        <v>0</v>
      </c>
      <c r="U581" s="47">
        <f t="shared" si="361"/>
        <v>0</v>
      </c>
    </row>
    <row r="582" spans="1:21" ht="18.75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6">L583+L584</f>
        <v>0</v>
      </c>
      <c r="M582" s="47">
        <f t="shared" ca="1" si="366"/>
        <v>0</v>
      </c>
      <c r="N582" s="47">
        <f t="shared" ca="1" si="366"/>
        <v>0</v>
      </c>
      <c r="O582" s="47">
        <f t="shared" ca="1" si="357"/>
        <v>0</v>
      </c>
      <c r="P582" s="47">
        <f t="shared" ca="1" si="358"/>
        <v>0</v>
      </c>
      <c r="Q582" s="47">
        <f t="shared" ref="Q582:S582" si="367">Q583+Q584</f>
        <v>0</v>
      </c>
      <c r="R582" s="47">
        <f t="shared" si="367"/>
        <v>0</v>
      </c>
      <c r="S582" s="47">
        <f t="shared" si="367"/>
        <v>0</v>
      </c>
      <c r="T582" s="47">
        <f t="shared" si="360"/>
        <v>0</v>
      </c>
      <c r="U582" s="47">
        <f t="shared" si="361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7"/>
        <v>0</v>
      </c>
      <c r="P583" s="49">
        <f t="shared" si="358"/>
        <v>0</v>
      </c>
      <c r="Q583" s="49">
        <v>0</v>
      </c>
      <c r="R583" s="49">
        <v>0</v>
      </c>
      <c r="S583" s="49">
        <v>0</v>
      </c>
      <c r="T583" s="49">
        <f t="shared" si="360"/>
        <v>0</v>
      </c>
      <c r="U583" s="49">
        <f t="shared" si="361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t="shared" ca="1" si="357"/>
        <v>0</v>
      </c>
      <c r="P584" s="47">
        <f t="shared" ca="1" si="358"/>
        <v>0</v>
      </c>
      <c r="Q584" s="47">
        <v>0</v>
      </c>
      <c r="R584" s="47">
        <v>0</v>
      </c>
      <c r="S584" s="47">
        <v>0</v>
      </c>
      <c r="T584" s="47">
        <f t="shared" si="360"/>
        <v>0</v>
      </c>
      <c r="U584" s="47">
        <f t="shared" si="361"/>
        <v>0</v>
      </c>
    </row>
    <row r="585" spans="1:21" ht="19.5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412">
        <v>2</v>
      </c>
      <c r="J586" s="178">
        <v>1</v>
      </c>
      <c r="K586" s="179">
        <f t="shared" ref="K586:K587" si="368">IF(I586&gt;0,J586*100/I586,0)</f>
        <v>50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200"/>
      <c r="C587" s="160"/>
      <c r="D587" s="271" t="s">
        <v>219</v>
      </c>
      <c r="E587" s="160"/>
      <c r="F587" s="200"/>
      <c r="G587" s="43"/>
      <c r="H587" s="44" t="s">
        <v>61</v>
      </c>
      <c r="I587" s="372">
        <v>15</v>
      </c>
      <c r="J587" s="169">
        <v>15</v>
      </c>
      <c r="K587" s="47">
        <f t="shared" si="368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69">L600+L601</f>
        <v>0</v>
      </c>
      <c r="M599" s="133">
        <f t="shared" ca="1" si="369"/>
        <v>0</v>
      </c>
      <c r="N599" s="133">
        <f t="shared" ca="1" si="369"/>
        <v>0</v>
      </c>
      <c r="O599" s="133">
        <f t="shared" ref="O599:O607" ca="1" si="370">IF(L599&gt;0,N599*100/L599,0)</f>
        <v>0</v>
      </c>
      <c r="P599" s="133">
        <f t="shared" ref="P599:P607" ca="1" si="371">IF(M599&gt;0,N599*100/M599,0)</f>
        <v>0</v>
      </c>
      <c r="Q599" s="133">
        <f t="shared" ref="Q599:S599" ca="1" si="372">Q600+Q601</f>
        <v>0</v>
      </c>
      <c r="R599" s="133">
        <f t="shared" ca="1" si="372"/>
        <v>0</v>
      </c>
      <c r="S599" s="133">
        <f t="shared" ca="1" si="372"/>
        <v>0</v>
      </c>
      <c r="T599" s="133">
        <f t="shared" ref="T599:T607" ca="1" si="373">IF(Q599&gt;0,S599*100/Q599,0)</f>
        <v>0</v>
      </c>
      <c r="U599" s="133">
        <f t="shared" ref="U599:U607" ca="1" si="374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5">L603+L606</f>
        <v>0</v>
      </c>
      <c r="M600" s="49">
        <f t="shared" si="375"/>
        <v>0</v>
      </c>
      <c r="N600" s="49">
        <f t="shared" si="375"/>
        <v>0</v>
      </c>
      <c r="O600" s="49">
        <f t="shared" si="370"/>
        <v>0</v>
      </c>
      <c r="P600" s="49">
        <f t="shared" si="371"/>
        <v>0</v>
      </c>
      <c r="Q600" s="49">
        <f t="shared" ref="Q600:S601" si="376">Q603+Q606</f>
        <v>0</v>
      </c>
      <c r="R600" s="49">
        <f t="shared" si="376"/>
        <v>0</v>
      </c>
      <c r="S600" s="49">
        <f t="shared" si="376"/>
        <v>0</v>
      </c>
      <c r="T600" s="49">
        <f t="shared" si="373"/>
        <v>0</v>
      </c>
      <c r="U600" s="49">
        <f t="shared" si="374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5"/>
        <v>0</v>
      </c>
      <c r="M601" s="47">
        <f t="shared" ca="1" si="375"/>
        <v>0</v>
      </c>
      <c r="N601" s="47">
        <f t="shared" ca="1" si="375"/>
        <v>0</v>
      </c>
      <c r="O601" s="47">
        <f t="shared" ca="1" si="370"/>
        <v>0</v>
      </c>
      <c r="P601" s="47">
        <f t="shared" ca="1" si="371"/>
        <v>0</v>
      </c>
      <c r="Q601" s="47">
        <f t="shared" ca="1" si="376"/>
        <v>0</v>
      </c>
      <c r="R601" s="47">
        <f t="shared" ca="1" si="376"/>
        <v>0</v>
      </c>
      <c r="S601" s="47">
        <f t="shared" ca="1" si="376"/>
        <v>0</v>
      </c>
      <c r="T601" s="47">
        <f t="shared" ca="1" si="373"/>
        <v>0</v>
      </c>
      <c r="U601" s="47">
        <f t="shared" ca="1" si="374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7">L603+L604</f>
        <v>0</v>
      </c>
      <c r="M602" s="47">
        <f t="shared" ca="1" si="377"/>
        <v>0</v>
      </c>
      <c r="N602" s="47">
        <f t="shared" ca="1" si="377"/>
        <v>0</v>
      </c>
      <c r="O602" s="47">
        <f t="shared" ca="1" si="370"/>
        <v>0</v>
      </c>
      <c r="P602" s="47">
        <f t="shared" ca="1" si="371"/>
        <v>0</v>
      </c>
      <c r="Q602" s="47">
        <f t="shared" ref="Q602:S602" ca="1" si="378">Q603+Q604</f>
        <v>0</v>
      </c>
      <c r="R602" s="47">
        <f t="shared" ca="1" si="378"/>
        <v>0</v>
      </c>
      <c r="S602" s="47">
        <f t="shared" ca="1" si="378"/>
        <v>0</v>
      </c>
      <c r="T602" s="47">
        <f t="shared" ca="1" si="373"/>
        <v>0</v>
      </c>
      <c r="U602" s="47">
        <f t="shared" ca="1" si="374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0"/>
        <v>0</v>
      </c>
      <c r="P603" s="49">
        <f t="shared" si="371"/>
        <v>0</v>
      </c>
      <c r="Q603" s="49">
        <v>0</v>
      </c>
      <c r="R603" s="49">
        <v>0</v>
      </c>
      <c r="S603" s="49">
        <v>0</v>
      </c>
      <c r="T603" s="49">
        <f t="shared" si="373"/>
        <v>0</v>
      </c>
      <c r="U603" s="49">
        <f t="shared" si="374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t="shared" ca="1" si="370"/>
        <v>0</v>
      </c>
      <c r="P604" s="47">
        <f t="shared" ca="1" si="371"/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t="shared" ca="1" si="373"/>
        <v>0</v>
      </c>
      <c r="U604" s="47">
        <f t="shared" ca="1" si="374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79">L606+L607</f>
        <v>0</v>
      </c>
      <c r="M605" s="47">
        <f t="shared" ca="1" si="379"/>
        <v>0</v>
      </c>
      <c r="N605" s="47">
        <f t="shared" ca="1" si="379"/>
        <v>0</v>
      </c>
      <c r="O605" s="47">
        <f t="shared" ca="1" si="370"/>
        <v>0</v>
      </c>
      <c r="P605" s="47">
        <f t="shared" ca="1" si="371"/>
        <v>0</v>
      </c>
      <c r="Q605" s="47">
        <f t="shared" ref="Q605:S605" ca="1" si="380">Q606+Q607</f>
        <v>0</v>
      </c>
      <c r="R605" s="47">
        <f t="shared" ca="1" si="380"/>
        <v>0</v>
      </c>
      <c r="S605" s="47">
        <f t="shared" ca="1" si="380"/>
        <v>0</v>
      </c>
      <c r="T605" s="47">
        <f t="shared" ca="1" si="373"/>
        <v>0</v>
      </c>
      <c r="U605" s="47">
        <f t="shared" ca="1" si="374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0"/>
        <v>0</v>
      </c>
      <c r="P606" s="49">
        <f t="shared" si="371"/>
        <v>0</v>
      </c>
      <c r="Q606" s="49">
        <v>0</v>
      </c>
      <c r="R606" s="49">
        <v>0</v>
      </c>
      <c r="S606" s="49">
        <v>0</v>
      </c>
      <c r="T606" s="49">
        <f t="shared" si="373"/>
        <v>0</v>
      </c>
      <c r="U606" s="49">
        <f t="shared" si="374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t="shared" ca="1" si="370"/>
        <v>0</v>
      </c>
      <c r="P607" s="47">
        <f t="shared" ca="1" si="371"/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t="shared" ca="1" si="373"/>
        <v>0</v>
      </c>
      <c r="U607" s="47">
        <f t="shared" ca="1" si="374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133">
        <f t="shared" ref="Q616:S616" ca="1" si="385">Q617+Q618</f>
        <v>2075</v>
      </c>
      <c r="R616" s="133">
        <f t="shared" ca="1" si="385"/>
        <v>2075</v>
      </c>
      <c r="S616" s="133">
        <f t="shared" ca="1" si="385"/>
        <v>2075</v>
      </c>
      <c r="T616" s="133">
        <f t="shared" ref="T616:T624" ca="1" si="386">IF(Q616&gt;0,S616*100/Q616,0)</f>
        <v>100</v>
      </c>
      <c r="U616" s="133">
        <f t="shared" ref="U616:U624" ca="1" si="387">IF(R616&gt;0,S616*100/R616,0)</f>
        <v>100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49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47">
        <f t="shared" ca="1" si="389"/>
        <v>2075</v>
      </c>
      <c r="R618" s="47">
        <f t="shared" ca="1" si="389"/>
        <v>2075</v>
      </c>
      <c r="S618" s="47">
        <f t="shared" ca="1" si="389"/>
        <v>2075</v>
      </c>
      <c r="T618" s="47">
        <f t="shared" ca="1" si="386"/>
        <v>100</v>
      </c>
      <c r="U618" s="47">
        <f t="shared" ca="1" si="387"/>
        <v>100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47">
        <f t="shared" ref="Q619:S619" ca="1" si="391">Q620+Q621</f>
        <v>2075</v>
      </c>
      <c r="R619" s="47">
        <f t="shared" ca="1" si="391"/>
        <v>2075</v>
      </c>
      <c r="S619" s="47">
        <f t="shared" ca="1" si="391"/>
        <v>2075</v>
      </c>
      <c r="T619" s="47">
        <f t="shared" ca="1" si="386"/>
        <v>100</v>
      </c>
      <c r="U619" s="47">
        <f t="shared" ca="1" si="387"/>
        <v>100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49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IFERROR(__xludf.DUMMYFUNCTION("IMPORTRANGE(""https://docs.google.com/spreadsheets/d/1ItG2mGa2ceCfYo0BwxsXqNm01IGEUdYcSSLTEv9YCik/edit?usp=sharing"",""เบิกจ่ายกองทุน!H88"")"),2075)</f>
        <v>2075</v>
      </c>
      <c r="T621" s="47">
        <f t="shared" ca="1" si="386"/>
        <v>100</v>
      </c>
      <c r="U621" s="47">
        <f t="shared" ca="1" si="387"/>
        <v>100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47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49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47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IFERROR(__xludf.DUMMYFUNCTION("IMPORTRANGE(""https://docs.google.com/spreadsheets/d/1eHaY18a8A9IcSdp1K8H6x8fbOy06t2VsZHhMHf-1x7Y/edit?usp=sharing"",""แผน!ID88"")"),0)</f>
        <v>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IFERROR(__xludf.DUMMYFUNCTION("IMPORTRANGE(""https://docs.google.com/spreadsheets/d/1eHaY18a8A9IcSdp1K8H6x8fbOy06t2VsZHhMHf-1x7Y/edit?usp=sharing"",""แผน!IC88"")"),1)</f>
        <v>1</v>
      </c>
      <c r="J627" s="169">
        <v>1</v>
      </c>
      <c r="K627" s="47">
        <f t="shared" ref="K627:K628" ca="1" si="394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IFERROR(__xludf.DUMMYFUNCTION("IMPORTRANGE(""https://docs.google.com/spreadsheets/d/1eHaY18a8A9IcSdp1K8H6x8fbOy06t2VsZHhMHf-1x7Y/edit?usp=sharing"",""แผน!IC88"")"),1)</f>
        <v>1</v>
      </c>
      <c r="J628" s="169">
        <v>1</v>
      </c>
      <c r="K628" s="47">
        <f t="shared" ca="1" si="394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5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5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5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IFERROR(__xludf.DUMMYFUNCTION("IMPORTRANGE(""https://docs.google.com/spreadsheets/d/1eHaY18a8A9IcSdp1K8H6x8fbOy06t2VsZHhMHf-1x7Y/edit?usp=sharing"",""แผน!IE88"")"),0)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6">L643+L644</f>
        <v>0</v>
      </c>
      <c r="M642" s="133">
        <f t="shared" si="396"/>
        <v>0</v>
      </c>
      <c r="N642" s="133">
        <f t="shared" si="396"/>
        <v>0</v>
      </c>
      <c r="O642" s="133">
        <f t="shared" ref="O642:O650" si="397">IF(L642&gt;0,N642*100/L642,0)</f>
        <v>0</v>
      </c>
      <c r="P642" s="133">
        <f t="shared" ref="P642:P650" si="398">IF(M642&gt;0,N642*100/M642,0)</f>
        <v>0</v>
      </c>
      <c r="Q642" s="133">
        <f t="shared" ref="Q642:S642" ca="1" si="399">Q643+Q644</f>
        <v>0</v>
      </c>
      <c r="R642" s="133">
        <f t="shared" ca="1" si="399"/>
        <v>0</v>
      </c>
      <c r="S642" s="133">
        <f t="shared" ca="1" si="399"/>
        <v>0</v>
      </c>
      <c r="T642" s="133">
        <f t="shared" ref="T642:T650" ca="1" si="400">IF(Q642&gt;0,S642*100/Q642,0)</f>
        <v>0</v>
      </c>
      <c r="U642" s="133">
        <f t="shared" ref="U642:U650" ca="1" si="401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2">L646+L649</f>
        <v>0</v>
      </c>
      <c r="M643" s="49">
        <f t="shared" si="402"/>
        <v>0</v>
      </c>
      <c r="N643" s="49">
        <f t="shared" si="402"/>
        <v>0</v>
      </c>
      <c r="O643" s="49">
        <f t="shared" si="397"/>
        <v>0</v>
      </c>
      <c r="P643" s="49">
        <f t="shared" si="398"/>
        <v>0</v>
      </c>
      <c r="Q643" s="49">
        <f t="shared" ref="Q643:S644" si="403">Q646+Q649</f>
        <v>0</v>
      </c>
      <c r="R643" s="49">
        <f t="shared" si="403"/>
        <v>0</v>
      </c>
      <c r="S643" s="49">
        <f t="shared" si="403"/>
        <v>0</v>
      </c>
      <c r="T643" s="49">
        <f t="shared" si="400"/>
        <v>0</v>
      </c>
      <c r="U643" s="49">
        <f t="shared" si="401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2"/>
        <v>0</v>
      </c>
      <c r="M644" s="47">
        <f t="shared" si="402"/>
        <v>0</v>
      </c>
      <c r="N644" s="47">
        <f t="shared" si="402"/>
        <v>0</v>
      </c>
      <c r="O644" s="47">
        <f t="shared" si="397"/>
        <v>0</v>
      </c>
      <c r="P644" s="47">
        <f t="shared" si="398"/>
        <v>0</v>
      </c>
      <c r="Q644" s="47">
        <f t="shared" ca="1" si="403"/>
        <v>0</v>
      </c>
      <c r="R644" s="47">
        <f t="shared" ca="1" si="403"/>
        <v>0</v>
      </c>
      <c r="S644" s="47">
        <f t="shared" ca="1" si="403"/>
        <v>0</v>
      </c>
      <c r="T644" s="47">
        <f t="shared" ca="1" si="400"/>
        <v>0</v>
      </c>
      <c r="U644" s="47">
        <f t="shared" ca="1" si="401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4">L646+L647</f>
        <v>0</v>
      </c>
      <c r="M645" s="47">
        <f t="shared" si="404"/>
        <v>0</v>
      </c>
      <c r="N645" s="47">
        <f t="shared" si="404"/>
        <v>0</v>
      </c>
      <c r="O645" s="47">
        <f t="shared" si="397"/>
        <v>0</v>
      </c>
      <c r="P645" s="47">
        <f t="shared" si="398"/>
        <v>0</v>
      </c>
      <c r="Q645" s="47">
        <f t="shared" ref="Q645:S645" ca="1" si="405">Q646+Q647</f>
        <v>0</v>
      </c>
      <c r="R645" s="47">
        <f t="shared" ca="1" si="405"/>
        <v>0</v>
      </c>
      <c r="S645" s="47">
        <f t="shared" ca="1" si="405"/>
        <v>0</v>
      </c>
      <c r="T645" s="47">
        <f t="shared" ca="1" si="400"/>
        <v>0</v>
      </c>
      <c r="U645" s="47">
        <f t="shared" ca="1" si="401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7"/>
        <v>0</v>
      </c>
      <c r="P646" s="49">
        <f t="shared" si="398"/>
        <v>0</v>
      </c>
      <c r="Q646" s="49">
        <v>0</v>
      </c>
      <c r="R646" s="49">
        <v>0</v>
      </c>
      <c r="S646" s="49">
        <v>0</v>
      </c>
      <c r="T646" s="49">
        <f t="shared" si="400"/>
        <v>0</v>
      </c>
      <c r="U646" s="49">
        <f t="shared" si="401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7"/>
        <v>0</v>
      </c>
      <c r="P647" s="47">
        <f t="shared" si="398"/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t="shared" ca="1" si="400"/>
        <v>0</v>
      </c>
      <c r="U647" s="47">
        <f t="shared" ca="1" si="401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6">L649+L650</f>
        <v>0</v>
      </c>
      <c r="M648" s="47">
        <f t="shared" si="406"/>
        <v>0</v>
      </c>
      <c r="N648" s="47">
        <f t="shared" si="406"/>
        <v>0</v>
      </c>
      <c r="O648" s="47">
        <f t="shared" si="397"/>
        <v>0</v>
      </c>
      <c r="P648" s="47">
        <f t="shared" si="398"/>
        <v>0</v>
      </c>
      <c r="Q648" s="47">
        <f t="shared" ref="Q648:S648" si="407">Q649+Q650</f>
        <v>0</v>
      </c>
      <c r="R648" s="47">
        <f t="shared" si="407"/>
        <v>0</v>
      </c>
      <c r="S648" s="47">
        <f t="shared" si="407"/>
        <v>0</v>
      </c>
      <c r="T648" s="47">
        <f t="shared" si="400"/>
        <v>0</v>
      </c>
      <c r="U648" s="47">
        <f t="shared" si="401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7"/>
        <v>0</v>
      </c>
      <c r="P649" s="49">
        <f t="shared" si="398"/>
        <v>0</v>
      </c>
      <c r="Q649" s="49">
        <v>0</v>
      </c>
      <c r="R649" s="49">
        <v>0</v>
      </c>
      <c r="S649" s="49">
        <v>0</v>
      </c>
      <c r="T649" s="49">
        <f t="shared" si="400"/>
        <v>0</v>
      </c>
      <c r="U649" s="49">
        <f t="shared" si="401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7"/>
        <v>0</v>
      </c>
      <c r="P650" s="47">
        <f t="shared" si="398"/>
        <v>0</v>
      </c>
      <c r="Q650" s="47">
        <v>0</v>
      </c>
      <c r="R650" s="47">
        <v>0</v>
      </c>
      <c r="S650" s="47">
        <v>0</v>
      </c>
      <c r="T650" s="47">
        <f t="shared" si="400"/>
        <v>0</v>
      </c>
      <c r="U650" s="47">
        <f t="shared" si="401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IFERROR(__xludf.DUMMYFUNCTION("IMPORTRANGE(""https://docs.google.com/spreadsheets/d/1eHaY18a8A9IcSdp1K8H6x8fbOy06t2VsZHhMHf-1x7Y/edit?usp=sharing"",""แผน!IF88"")"),0)</f>
        <v>0</v>
      </c>
      <c r="J652" s="37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t="shared" ref="K652:K654" ca="1" si="408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IFERROR(__xludf.DUMMYFUNCTION("IMPORTRANGE(""https://docs.google.com/spreadsheets/d/1eHaY18a8A9IcSdp1K8H6x8fbOy06t2VsZHhMHf-1x7Y/edit?usp=sharing"",""แผน!IG88"")"),0)</f>
        <v>0</v>
      </c>
      <c r="J653" s="37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t="shared" ca="1" si="408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IFERROR(__xludf.DUMMYFUNCTION("IMPORTRANGE(""https://docs.google.com/spreadsheets/d/1eHaY18a8A9IcSdp1K8H6x8fbOy06t2VsZHhMHf-1x7Y/edit?usp=sharing"",""แผน!IH88"")"),0)</f>
        <v>0</v>
      </c>
      <c r="J654" s="371">
        <f>J657+J660</f>
        <v>0</v>
      </c>
      <c r="K654" s="133">
        <f t="shared" ca="1" si="408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IFERROR(__xludf.DUMMYFUNCTION("IMPORTRANGE(""https://docs.google.com/spreadsheets/d/1eHaY18a8A9IcSdp1K8H6x8fbOy06t2VsZHhMHf-1x7Y/edit?usp=sharing"",""แผน!II88"")"),0)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IFERROR(__xludf.DUMMYFUNCTION("IMPORTRANGE(""https://docs.google.com/spreadsheets/d/1eHaY18a8A9IcSdp1K8H6x8fbOy06t2VsZHhMHf-1x7Y/edit?usp=sharing"",""แผน!IJ88"")"),0)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IFERROR(__xludf.DUMMYFUNCTION("IMPORTRANGE(""https://docs.google.com/spreadsheets/d/1eHaY18a8A9IcSdp1K8H6x8fbOy06t2VsZHhMHf-1x7Y/edit?usp=sharing"",""แผน!IK88"")"),0)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IFERROR(__xludf.DUMMYFUNCTION("IMPORTRANGE(""https://docs.google.com/spreadsheets/d/1eHaY18a8A9IcSdp1K8H6x8fbOy06t2VsZHhMHf-1x7Y/edit?usp=sharing"",""แผน!IL88"")"),0)</f>
        <v>0</v>
      </c>
      <c r="J673" s="37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t="shared" ref="K673:K676" ca="1" si="409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IFERROR(__xludf.DUMMYFUNCTION("IMPORTRANGE(""https://docs.google.com/spreadsheets/d/1eHaY18a8A9IcSdp1K8H6x8fbOy06t2VsZHhMHf-1x7Y/edit?usp=sharing"",""แผน!IM88"")"),0)</f>
        <v>0</v>
      </c>
      <c r="J674" s="371">
        <f ca="1">J676+J679</f>
        <v>0</v>
      </c>
      <c r="K674" s="133">
        <f t="shared" ca="1" si="409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IFERROR(__xludf.DUMMYFUNCTION("IMPORTRANGE(""https://docs.google.com/spreadsheets/d/1eHaY18a8A9IcSdp1K8H6x8fbOy06t2VsZHhMHf-1x7Y/edit?usp=sharing"",""แผน!IN88"")"),0)</f>
        <v>0</v>
      </c>
      <c r="J675" s="371">
        <f ca="1">J678+J681</f>
        <v>0</v>
      </c>
      <c r="K675" s="133">
        <f t="shared" ca="1" si="409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IFERROR(__xludf.DUMMYFUNCTION("IMPORTRANGE(""https://docs.google.com/spreadsheets/d/1eHaY18a8A9IcSdp1K8H6x8fbOy06t2VsZHhMHf-1x7Y/edit?usp=sharing"",""แผน!IO88"")"),0)</f>
        <v>0</v>
      </c>
      <c r="J676" s="37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t="shared" ca="1" si="409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IFERROR(__xludf.DUMMYFUNCTION("IMPORTRANGE(""https://docs.google.com/spreadsheets/d/1eHaY18a8A9IcSdp1K8H6x8fbOy06t2VsZHhMHf-1x7Y/edit?usp=sharing"",""แผน!IP88"")"),0)</f>
        <v>0</v>
      </c>
      <c r="J678" s="37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t="shared" ref="K678:K679" ca="1" si="410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IFERROR(__xludf.DUMMYFUNCTION("IMPORTRANGE(""https://docs.google.com/spreadsheets/d/1eHaY18a8A9IcSdp1K8H6x8fbOy06t2VsZHhMHf-1x7Y/edit?usp=sharing"",""แผน!IQ88"")"),0)</f>
        <v>0</v>
      </c>
      <c r="J679" s="37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t="shared" ca="1" si="410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IFERROR(__xludf.DUMMYFUNCTION("IMPORTRANGE(""https://docs.google.com/spreadsheets/d/1eHaY18a8A9IcSdp1K8H6x8fbOy06t2VsZHhMHf-1x7Y/edit?usp=sharing"",""แผน!IR88"")"),0)</f>
        <v>0</v>
      </c>
      <c r="J681" s="37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t="shared" ref="K681:K682" ca="1" si="411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IFERROR(__xludf.DUMMYFUNCTION("IMPORTRANGE(""https://docs.google.com/spreadsheets/d/1eHaY18a8A9IcSdp1K8H6x8fbOy06t2VsZHhMHf-1x7Y/edit?usp=sharing"",""แผน!IS88"")"),0)</f>
        <v>0</v>
      </c>
      <c r="J682" s="371">
        <f>J685+J688</f>
        <v>0</v>
      </c>
      <c r="K682" s="133">
        <f t="shared" ca="1" si="411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2">I707+I709</f>
        <v>5</v>
      </c>
      <c r="J689" s="844">
        <f t="shared" ca="1" si="412"/>
        <v>19</v>
      </c>
      <c r="K689" s="505">
        <f ca="1">IF(I689&gt;0,J689*100/I689,0)</f>
        <v>380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3">L691+L692</f>
        <v>0</v>
      </c>
      <c r="M690" s="133">
        <f t="shared" si="413"/>
        <v>0</v>
      </c>
      <c r="N690" s="133">
        <f t="shared" si="413"/>
        <v>0</v>
      </c>
      <c r="O690" s="133">
        <f t="shared" ref="O690:O698" si="414">IF(L690&gt;0,N690*100/L690,0)</f>
        <v>0</v>
      </c>
      <c r="P690" s="133">
        <f t="shared" ref="P690:P698" si="415">IF(M690&gt;0,N690*100/M690,0)</f>
        <v>0</v>
      </c>
      <c r="Q690" s="133">
        <f t="shared" ref="Q690:S690" ca="1" si="416">Q691+Q692</f>
        <v>76940</v>
      </c>
      <c r="R690" s="133">
        <f t="shared" ca="1" si="416"/>
        <v>76940</v>
      </c>
      <c r="S690" s="133">
        <f t="shared" ca="1" si="416"/>
        <v>76940</v>
      </c>
      <c r="T690" s="133">
        <f t="shared" ref="T690:T698" ca="1" si="417">IF(Q690&gt;0,S690*100/Q690,0)</f>
        <v>100</v>
      </c>
      <c r="U690" s="133">
        <f t="shared" ref="U690:U698" ca="1" si="418">IF(R690&gt;0,S690*100/R690,0)</f>
        <v>100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9">L694+L697</f>
        <v>0</v>
      </c>
      <c r="M691" s="49">
        <f t="shared" si="419"/>
        <v>0</v>
      </c>
      <c r="N691" s="49">
        <f t="shared" si="419"/>
        <v>0</v>
      </c>
      <c r="O691" s="49">
        <f t="shared" si="414"/>
        <v>0</v>
      </c>
      <c r="P691" s="49">
        <f t="shared" si="415"/>
        <v>0</v>
      </c>
      <c r="Q691" s="49">
        <f t="shared" ref="Q691:S692" si="420">Q694+Q697</f>
        <v>0</v>
      </c>
      <c r="R691" s="49">
        <f t="shared" si="420"/>
        <v>0</v>
      </c>
      <c r="S691" s="49">
        <f t="shared" si="420"/>
        <v>0</v>
      </c>
      <c r="T691" s="49">
        <f t="shared" si="417"/>
        <v>0</v>
      </c>
      <c r="U691" s="49">
        <f t="shared" si="418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9"/>
        <v>0</v>
      </c>
      <c r="M692" s="47">
        <f t="shared" si="419"/>
        <v>0</v>
      </c>
      <c r="N692" s="47">
        <f t="shared" si="419"/>
        <v>0</v>
      </c>
      <c r="O692" s="47">
        <f t="shared" si="414"/>
        <v>0</v>
      </c>
      <c r="P692" s="47">
        <f t="shared" si="415"/>
        <v>0</v>
      </c>
      <c r="Q692" s="47">
        <f t="shared" ca="1" si="420"/>
        <v>76940</v>
      </c>
      <c r="R692" s="47">
        <f t="shared" ca="1" si="420"/>
        <v>76940</v>
      </c>
      <c r="S692" s="47">
        <f t="shared" ca="1" si="420"/>
        <v>76940</v>
      </c>
      <c r="T692" s="47">
        <f t="shared" ca="1" si="417"/>
        <v>100</v>
      </c>
      <c r="U692" s="47">
        <f t="shared" ca="1" si="418"/>
        <v>100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1">L694+L695</f>
        <v>0</v>
      </c>
      <c r="M693" s="47">
        <f t="shared" si="421"/>
        <v>0</v>
      </c>
      <c r="N693" s="47">
        <f t="shared" si="421"/>
        <v>0</v>
      </c>
      <c r="O693" s="47">
        <f t="shared" si="414"/>
        <v>0</v>
      </c>
      <c r="P693" s="47">
        <f t="shared" si="415"/>
        <v>0</v>
      </c>
      <c r="Q693" s="47">
        <f t="shared" ref="Q693:S693" ca="1" si="422">Q694+Q695</f>
        <v>76940</v>
      </c>
      <c r="R693" s="47">
        <f t="shared" ca="1" si="422"/>
        <v>76940</v>
      </c>
      <c r="S693" s="47">
        <f t="shared" ca="1" si="422"/>
        <v>76940</v>
      </c>
      <c r="T693" s="47">
        <f t="shared" ca="1" si="417"/>
        <v>100</v>
      </c>
      <c r="U693" s="47">
        <f t="shared" ca="1" si="418"/>
        <v>100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4"/>
        <v>0</v>
      </c>
      <c r="P694" s="49">
        <f t="shared" si="415"/>
        <v>0</v>
      </c>
      <c r="Q694" s="49">
        <v>0</v>
      </c>
      <c r="R694" s="49">
        <v>0</v>
      </c>
      <c r="S694" s="49">
        <v>0</v>
      </c>
      <c r="T694" s="49">
        <f t="shared" si="417"/>
        <v>0</v>
      </c>
      <c r="U694" s="49">
        <f t="shared" si="418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4"/>
        <v>0</v>
      </c>
      <c r="P695" s="47">
        <f t="shared" si="415"/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IFERROR(__xludf.DUMMYFUNCTION("IMPORTRANGE(""https://docs.google.com/spreadsheets/d/1ItG2mGa2ceCfYo0BwxsXqNm01IGEUdYcSSLTEv9YCik/edit?usp=sharing"",""เบิกจ่ายกองทุน!N88"")"),76940)</f>
        <v>76940</v>
      </c>
      <c r="T695" s="47">
        <f t="shared" ca="1" si="417"/>
        <v>100</v>
      </c>
      <c r="U695" s="47">
        <f t="shared" ca="1" si="418"/>
        <v>100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3">L697+L698</f>
        <v>0</v>
      </c>
      <c r="M696" s="47">
        <f t="shared" si="423"/>
        <v>0</v>
      </c>
      <c r="N696" s="47">
        <f t="shared" si="423"/>
        <v>0</v>
      </c>
      <c r="O696" s="47">
        <f t="shared" si="414"/>
        <v>0</v>
      </c>
      <c r="P696" s="47">
        <f t="shared" si="415"/>
        <v>0</v>
      </c>
      <c r="Q696" s="47">
        <f t="shared" ref="Q696:S696" si="424">Q697+Q698</f>
        <v>0</v>
      </c>
      <c r="R696" s="47">
        <f t="shared" si="424"/>
        <v>0</v>
      </c>
      <c r="S696" s="47">
        <f t="shared" si="424"/>
        <v>0</v>
      </c>
      <c r="T696" s="47">
        <f t="shared" si="417"/>
        <v>0</v>
      </c>
      <c r="U696" s="47">
        <f t="shared" si="418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4"/>
        <v>0</v>
      </c>
      <c r="P697" s="49">
        <f t="shared" si="415"/>
        <v>0</v>
      </c>
      <c r="Q697" s="49">
        <v>0</v>
      </c>
      <c r="R697" s="49">
        <v>0</v>
      </c>
      <c r="S697" s="49">
        <v>0</v>
      </c>
      <c r="T697" s="49">
        <f t="shared" si="417"/>
        <v>0</v>
      </c>
      <c r="U697" s="49">
        <f t="shared" si="418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4"/>
        <v>0</v>
      </c>
      <c r="P698" s="47">
        <f t="shared" si="415"/>
        <v>0</v>
      </c>
      <c r="Q698" s="47">
        <v>0</v>
      </c>
      <c r="R698" s="47">
        <v>0</v>
      </c>
      <c r="S698" s="47">
        <v>0</v>
      </c>
      <c r="T698" s="47">
        <f t="shared" si="417"/>
        <v>0</v>
      </c>
      <c r="U698" s="47">
        <f t="shared" si="418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IFERROR(__xludf.DUMMYFUNCTION("IMPORTRANGE(""https://docs.google.com/spreadsheets/d/1eHaY18a8A9IcSdp1K8H6x8fbOy06t2VsZHhMHf-1x7Y/edit?usp=sharing"",""แผน!LC88"")"),0)</f>
        <v>0</v>
      </c>
      <c r="J700" s="169">
        <v>0</v>
      </c>
      <c r="K700" s="154">
        <f t="shared" ref="K700:K710" ca="1" si="425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6">I703+I705</f>
        <v>5</v>
      </c>
      <c r="J701" s="371">
        <f t="shared" ca="1" si="426"/>
        <v>19</v>
      </c>
      <c r="K701" s="133">
        <f t="shared" ca="1" si="425"/>
        <v>380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5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IFERROR(__xludf.DUMMYFUNCTION("IMPORTRANGE(""https://docs.google.com/spreadsheets/d/1eHaY18a8A9IcSdp1K8H6x8fbOy06t2VsZHhMHf-1x7Y/edit?usp=sharing"",""แผน!LJ88"")"),0)</f>
        <v>0</v>
      </c>
      <c r="J703" s="37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t="shared" ca="1" si="425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 t="shared" si="425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IFERROR(__xludf.DUMMYFUNCTION("IMPORTRANGE(""https://docs.google.com/spreadsheets/d/1eHaY18a8A9IcSdp1K8H6x8fbOy06t2VsZHhMHf-1x7Y/edit?usp=sharing"",""แผน!LK88"")"),5)</f>
        <v>5</v>
      </c>
      <c r="J705" s="372">
        <f ca="1">IFERROR(__xludf.DUMMYFUNCTION("IMPORTRANGE(""https://docs.google.com/spreadsheets/d/1tdoBKaGub7dwA3U6UFTqxio9LNnvDCQjHKmttSEBsFQ/edit?usp=sharing"",""จัดที่ดิน!AR88"")"),19)</f>
        <v>19</v>
      </c>
      <c r="K705" s="154">
        <f t="shared" ca="1" si="425"/>
        <v>380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 t="shared" si="425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IFERROR(__xludf.DUMMYFUNCTION("IMPORTRANGE(""https://docs.google.com/spreadsheets/d/1eHaY18a8A9IcSdp1K8H6x8fbOy06t2VsZHhMHf-1x7Y/edit?usp=sharing"",""แผน!LJ88"")"),0)</f>
        <v>0</v>
      </c>
      <c r="J707" s="37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t="shared" ca="1" si="425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 t="shared" si="425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IFERROR(__xludf.DUMMYFUNCTION("IMPORTRANGE(""https://docs.google.com/spreadsheets/d/1eHaY18a8A9IcSdp1K8H6x8fbOy06t2VsZHhMHf-1x7Y/edit?usp=sharing"",""แผน!LK88"")"),5)</f>
        <v>5</v>
      </c>
      <c r="J709" s="372">
        <f ca="1">IFERROR(__xludf.DUMMYFUNCTION("IMPORTRANGE(""https://docs.google.com/spreadsheets/d/1tdoBKaGub7dwA3U6UFTqxio9LNnvDCQjHKmttSEBsFQ/edit?usp=sharing"",""จัดที่ดิน!BP88"")"),19)</f>
        <v>19</v>
      </c>
      <c r="K709" s="47">
        <f t="shared" ca="1" si="425"/>
        <v>380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 t="shared" si="425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7">L715+L716</f>
        <v>0</v>
      </c>
      <c r="M714" s="133">
        <f t="shared" si="427"/>
        <v>0</v>
      </c>
      <c r="N714" s="133">
        <f t="shared" si="427"/>
        <v>0</v>
      </c>
      <c r="O714" s="133">
        <f t="shared" ref="O714:O722" si="428">IF(L714&gt;0,N714*100/L714,0)</f>
        <v>0</v>
      </c>
      <c r="P714" s="133">
        <f t="shared" ref="P714:P722" si="429">IF(M714&gt;0,N714*100/M714,0)</f>
        <v>0</v>
      </c>
      <c r="Q714" s="133">
        <f t="shared" ref="Q714:S714" si="430">Q715+Q716</f>
        <v>0</v>
      </c>
      <c r="R714" s="133">
        <f t="shared" si="430"/>
        <v>0</v>
      </c>
      <c r="S714" s="133">
        <f t="shared" si="430"/>
        <v>0</v>
      </c>
      <c r="T714" s="133">
        <f t="shared" ref="T714:T722" si="431">IF(Q714&gt;0,S714*100/Q714,0)</f>
        <v>0</v>
      </c>
      <c r="U714" s="133">
        <f t="shared" ref="U714:U722" si="432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3">L718+L721</f>
        <v>0</v>
      </c>
      <c r="M715" s="49">
        <f t="shared" si="433"/>
        <v>0</v>
      </c>
      <c r="N715" s="49">
        <f t="shared" si="433"/>
        <v>0</v>
      </c>
      <c r="O715" s="49">
        <f t="shared" si="428"/>
        <v>0</v>
      </c>
      <c r="P715" s="49">
        <f t="shared" si="429"/>
        <v>0</v>
      </c>
      <c r="Q715" s="49">
        <f t="shared" ref="Q715:S716" si="434">Q718+Q721</f>
        <v>0</v>
      </c>
      <c r="R715" s="49">
        <f t="shared" si="434"/>
        <v>0</v>
      </c>
      <c r="S715" s="49">
        <f t="shared" si="434"/>
        <v>0</v>
      </c>
      <c r="T715" s="49">
        <f t="shared" si="431"/>
        <v>0</v>
      </c>
      <c r="U715" s="49">
        <f t="shared" si="432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3"/>
        <v>0</v>
      </c>
      <c r="M716" s="47">
        <f t="shared" si="433"/>
        <v>0</v>
      </c>
      <c r="N716" s="47">
        <f t="shared" si="433"/>
        <v>0</v>
      </c>
      <c r="O716" s="47">
        <f t="shared" si="428"/>
        <v>0</v>
      </c>
      <c r="P716" s="47">
        <f t="shared" si="429"/>
        <v>0</v>
      </c>
      <c r="Q716" s="47">
        <f t="shared" si="434"/>
        <v>0</v>
      </c>
      <c r="R716" s="47">
        <f t="shared" si="434"/>
        <v>0</v>
      </c>
      <c r="S716" s="47">
        <f t="shared" si="434"/>
        <v>0</v>
      </c>
      <c r="T716" s="47">
        <f t="shared" si="431"/>
        <v>0</v>
      </c>
      <c r="U716" s="47">
        <f t="shared" si="432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5">L718+L719</f>
        <v>0</v>
      </c>
      <c r="M717" s="47">
        <f t="shared" si="435"/>
        <v>0</v>
      </c>
      <c r="N717" s="47">
        <f t="shared" si="435"/>
        <v>0</v>
      </c>
      <c r="O717" s="47">
        <f t="shared" si="428"/>
        <v>0</v>
      </c>
      <c r="P717" s="47">
        <f t="shared" si="429"/>
        <v>0</v>
      </c>
      <c r="Q717" s="47">
        <f t="shared" ref="Q717:S717" si="436">Q718+Q719</f>
        <v>0</v>
      </c>
      <c r="R717" s="47">
        <f t="shared" si="436"/>
        <v>0</v>
      </c>
      <c r="S717" s="47">
        <f t="shared" si="436"/>
        <v>0</v>
      </c>
      <c r="T717" s="47">
        <f t="shared" si="431"/>
        <v>0</v>
      </c>
      <c r="U717" s="47">
        <f t="shared" si="432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8"/>
        <v>0</v>
      </c>
      <c r="P718" s="49">
        <f t="shared" si="429"/>
        <v>0</v>
      </c>
      <c r="Q718" s="49">
        <v>0</v>
      </c>
      <c r="R718" s="49">
        <v>0</v>
      </c>
      <c r="S718" s="49">
        <v>0</v>
      </c>
      <c r="T718" s="49">
        <f t="shared" si="431"/>
        <v>0</v>
      </c>
      <c r="U718" s="49">
        <f t="shared" si="432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8"/>
        <v>0</v>
      </c>
      <c r="P719" s="47">
        <f t="shared" si="429"/>
        <v>0</v>
      </c>
      <c r="Q719" s="47">
        <v>0</v>
      </c>
      <c r="R719" s="47">
        <v>0</v>
      </c>
      <c r="S719" s="47">
        <v>0</v>
      </c>
      <c r="T719" s="47">
        <f t="shared" si="431"/>
        <v>0</v>
      </c>
      <c r="U719" s="47">
        <f t="shared" si="432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7">L721+L722</f>
        <v>0</v>
      </c>
      <c r="M720" s="47">
        <f t="shared" si="437"/>
        <v>0</v>
      </c>
      <c r="N720" s="47">
        <f t="shared" si="437"/>
        <v>0</v>
      </c>
      <c r="O720" s="47">
        <f t="shared" si="428"/>
        <v>0</v>
      </c>
      <c r="P720" s="47">
        <f t="shared" si="429"/>
        <v>0</v>
      </c>
      <c r="Q720" s="47">
        <f t="shared" ref="Q720:S720" si="438">Q721+Q722</f>
        <v>0</v>
      </c>
      <c r="R720" s="47">
        <f t="shared" si="438"/>
        <v>0</v>
      </c>
      <c r="S720" s="47">
        <f t="shared" si="438"/>
        <v>0</v>
      </c>
      <c r="T720" s="47">
        <f t="shared" si="431"/>
        <v>0</v>
      </c>
      <c r="U720" s="47">
        <f t="shared" si="432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8"/>
        <v>0</v>
      </c>
      <c r="P721" s="49">
        <f t="shared" si="429"/>
        <v>0</v>
      </c>
      <c r="Q721" s="49">
        <v>0</v>
      </c>
      <c r="R721" s="49">
        <v>0</v>
      </c>
      <c r="S721" s="49">
        <v>0</v>
      </c>
      <c r="T721" s="49">
        <f t="shared" si="431"/>
        <v>0</v>
      </c>
      <c r="U721" s="49">
        <f t="shared" si="432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8"/>
        <v>0</v>
      </c>
      <c r="P722" s="47">
        <f t="shared" si="429"/>
        <v>0</v>
      </c>
      <c r="Q722" s="47">
        <v>0</v>
      </c>
      <c r="R722" s="47">
        <v>0</v>
      </c>
      <c r="S722" s="47">
        <v>0</v>
      </c>
      <c r="T722" s="47">
        <f t="shared" si="431"/>
        <v>0</v>
      </c>
      <c r="U722" s="47">
        <f t="shared" si="432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IFERROR(__xludf.DUMMYFUNCTION("IMPORTRANGE(""https://docs.google.com/spreadsheets/d/1eHaY18a8A9IcSdp1K8H6x8fbOy06t2VsZHhMHf-1x7Y/edit?usp=sharing"",""แผน!GA88"")"),51)</f>
        <v>51</v>
      </c>
      <c r="J726" s="504">
        <f>J742+J746+J749</f>
        <v>51</v>
      </c>
      <c r="K726" s="505">
        <f t="shared" ref="K726:K727" ca="1" si="439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IFERROR(__xludf.DUMMYFUNCTION("IMPORTRANGE(""https://docs.google.com/spreadsheets/d/1eHaY18a8A9IcSdp1K8H6x8fbOy06t2VsZHhMHf-1x7Y/edit?usp=sharing"",""แผน!FZ88"")"),500)</f>
        <v>500</v>
      </c>
      <c r="J727" s="504">
        <f>J752+J755</f>
        <v>500</v>
      </c>
      <c r="K727" s="505">
        <f t="shared" ca="1" si="439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0">L729+L730</f>
        <v>0</v>
      </c>
      <c r="M728" s="133">
        <f t="shared" si="440"/>
        <v>0</v>
      </c>
      <c r="N728" s="133">
        <f t="shared" si="440"/>
        <v>0</v>
      </c>
      <c r="O728" s="133">
        <f t="shared" ref="O728:O736" si="441">IF(L728&gt;0,N728*100/L728,0)</f>
        <v>0</v>
      </c>
      <c r="P728" s="133">
        <f t="shared" ref="P728:P736" si="442">IF(M728&gt;0,N728*100/M728,0)</f>
        <v>0</v>
      </c>
      <c r="Q728" s="133">
        <f t="shared" ref="Q728:S728" ca="1" si="443">Q729+Q730</f>
        <v>379090</v>
      </c>
      <c r="R728" s="133">
        <f t="shared" ca="1" si="443"/>
        <v>369090</v>
      </c>
      <c r="S728" s="133">
        <f t="shared" ca="1" si="443"/>
        <v>368259</v>
      </c>
      <c r="T728" s="133">
        <f t="shared" ref="T728:T736" ca="1" si="444">IF(Q728&gt;0,S728*100/Q728,0)</f>
        <v>97.142894827085911</v>
      </c>
      <c r="U728" s="133">
        <f t="shared" ref="U728:U736" ca="1" si="445">IF(R728&gt;0,S728*100/R728,0)</f>
        <v>99.774851662196212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6">L732+L735</f>
        <v>0</v>
      </c>
      <c r="M729" s="49">
        <f t="shared" si="446"/>
        <v>0</v>
      </c>
      <c r="N729" s="49">
        <f t="shared" si="446"/>
        <v>0</v>
      </c>
      <c r="O729" s="49">
        <f t="shared" si="441"/>
        <v>0</v>
      </c>
      <c r="P729" s="49">
        <f t="shared" si="442"/>
        <v>0</v>
      </c>
      <c r="Q729" s="49">
        <f t="shared" ref="Q729:S730" si="447">Q732+Q735</f>
        <v>0</v>
      </c>
      <c r="R729" s="49">
        <f t="shared" si="447"/>
        <v>0</v>
      </c>
      <c r="S729" s="49">
        <f t="shared" si="447"/>
        <v>0</v>
      </c>
      <c r="T729" s="49">
        <f t="shared" si="444"/>
        <v>0</v>
      </c>
      <c r="U729" s="49">
        <f t="shared" si="445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6"/>
        <v>0</v>
      </c>
      <c r="M730" s="47">
        <f t="shared" si="446"/>
        <v>0</v>
      </c>
      <c r="N730" s="47">
        <f t="shared" si="446"/>
        <v>0</v>
      </c>
      <c r="O730" s="47">
        <f t="shared" si="441"/>
        <v>0</v>
      </c>
      <c r="P730" s="47">
        <f t="shared" si="442"/>
        <v>0</v>
      </c>
      <c r="Q730" s="47">
        <f t="shared" ca="1" si="447"/>
        <v>379090</v>
      </c>
      <c r="R730" s="47">
        <f t="shared" ca="1" si="447"/>
        <v>369090</v>
      </c>
      <c r="S730" s="47">
        <f t="shared" ca="1" si="447"/>
        <v>368259</v>
      </c>
      <c r="T730" s="47">
        <f t="shared" ca="1" si="444"/>
        <v>97.142894827085911</v>
      </c>
      <c r="U730" s="47">
        <f t="shared" ca="1" si="445"/>
        <v>99.774851662196212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8">L732+L733</f>
        <v>0</v>
      </c>
      <c r="M731" s="47">
        <f t="shared" si="448"/>
        <v>0</v>
      </c>
      <c r="N731" s="47">
        <f t="shared" si="448"/>
        <v>0</v>
      </c>
      <c r="O731" s="47">
        <f t="shared" si="441"/>
        <v>0</v>
      </c>
      <c r="P731" s="47">
        <f t="shared" si="442"/>
        <v>0</v>
      </c>
      <c r="Q731" s="47">
        <f t="shared" ref="Q731:S731" ca="1" si="449">Q732+Q733</f>
        <v>379090</v>
      </c>
      <c r="R731" s="47">
        <f t="shared" ca="1" si="449"/>
        <v>369090</v>
      </c>
      <c r="S731" s="47">
        <f t="shared" ca="1" si="449"/>
        <v>368259</v>
      </c>
      <c r="T731" s="47">
        <f t="shared" ca="1" si="444"/>
        <v>97.142894827085911</v>
      </c>
      <c r="U731" s="47">
        <f t="shared" ca="1" si="445"/>
        <v>99.774851662196212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1"/>
        <v>0</v>
      </c>
      <c r="P732" s="49">
        <f t="shared" si="442"/>
        <v>0</v>
      </c>
      <c r="Q732" s="49">
        <v>0</v>
      </c>
      <c r="R732" s="49">
        <v>0</v>
      </c>
      <c r="S732" s="49">
        <v>0</v>
      </c>
      <c r="T732" s="49">
        <f t="shared" si="444"/>
        <v>0</v>
      </c>
      <c r="U732" s="49">
        <f t="shared" si="445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1"/>
        <v>0</v>
      </c>
      <c r="P733" s="47">
        <f t="shared" si="442"/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IFERROR(__xludf.DUMMYFUNCTION("IMPORTRANGE(""https://docs.google.com/spreadsheets/d/1ItG2mGa2ceCfYo0BwxsXqNm01IGEUdYcSSLTEv9YCik/edit?usp=sharing"",""เบิกจ่ายกองทุน!P88"")"),369090)</f>
        <v>369090</v>
      </c>
      <c r="S733" s="47">
        <f ca="1">IFERROR(__xludf.DUMMYFUNCTION("IMPORTRANGE(""https://docs.google.com/spreadsheets/d/1ItG2mGa2ceCfYo0BwxsXqNm01IGEUdYcSSLTEv9YCik/edit?usp=sharing"",""เบิกจ่ายกองทุน!Q88"")"),368259)</f>
        <v>368259</v>
      </c>
      <c r="T733" s="47">
        <f t="shared" ca="1" si="444"/>
        <v>97.142894827085911</v>
      </c>
      <c r="U733" s="47">
        <f t="shared" ca="1" si="445"/>
        <v>99.774851662196212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0">L735+L736</f>
        <v>0</v>
      </c>
      <c r="M734" s="47">
        <f t="shared" si="450"/>
        <v>0</v>
      </c>
      <c r="N734" s="47">
        <f t="shared" si="450"/>
        <v>0</v>
      </c>
      <c r="O734" s="47">
        <f t="shared" si="441"/>
        <v>0</v>
      </c>
      <c r="P734" s="47">
        <f t="shared" si="442"/>
        <v>0</v>
      </c>
      <c r="Q734" s="47">
        <f t="shared" ref="Q734:S734" si="451">Q735+Q736</f>
        <v>0</v>
      </c>
      <c r="R734" s="47">
        <f t="shared" si="451"/>
        <v>0</v>
      </c>
      <c r="S734" s="47">
        <f t="shared" si="451"/>
        <v>0</v>
      </c>
      <c r="T734" s="47">
        <f t="shared" si="444"/>
        <v>0</v>
      </c>
      <c r="U734" s="47">
        <f t="shared" si="445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1"/>
        <v>0</v>
      </c>
      <c r="P735" s="49">
        <f t="shared" si="442"/>
        <v>0</v>
      </c>
      <c r="Q735" s="49">
        <v>0</v>
      </c>
      <c r="R735" s="49">
        <v>0</v>
      </c>
      <c r="S735" s="49">
        <v>0</v>
      </c>
      <c r="T735" s="49">
        <f t="shared" si="444"/>
        <v>0</v>
      </c>
      <c r="U735" s="49">
        <f t="shared" si="445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1"/>
        <v>0</v>
      </c>
      <c r="P736" s="47">
        <f t="shared" si="442"/>
        <v>0</v>
      </c>
      <c r="Q736" s="47">
        <v>0</v>
      </c>
      <c r="R736" s="47">
        <v>0</v>
      </c>
      <c r="S736" s="47">
        <v>0</v>
      </c>
      <c r="T736" s="47">
        <f t="shared" si="444"/>
        <v>0</v>
      </c>
      <c r="U736" s="47">
        <f t="shared" si="445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IFERROR(__xludf.DUMMYFUNCTION("IMPORTRANGE(""https://docs.google.com/spreadsheets/d/1eHaY18a8A9IcSdp1K8H6x8fbOy06t2VsZHhMHf-1x7Y/edit?usp=sharing"",""แผน!GB88"")"),400)</f>
        <v>400</v>
      </c>
      <c r="J740" s="795">
        <v>400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IFERROR(__xludf.DUMMYFUNCTION("IMPORTRANGE(""https://docs.google.com/spreadsheets/d/1eHaY18a8A9IcSdp1K8H6x8fbOy06t2VsZHhMHf-1x7Y/edit?usp=sharing"",""แผน!GC88"")"),40)</f>
        <v>40</v>
      </c>
      <c r="J742" s="795">
        <v>40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IFERROR(__xludf.DUMMYFUNCTION("IMPORTRANGE(""https://docs.google.com/spreadsheets/d/1eHaY18a8A9IcSdp1K8H6x8fbOy06t2VsZHhMHf-1x7Y/edit?usp=sharing"",""แผน!GD88"")"),100)</f>
        <v>100</v>
      </c>
      <c r="J744" s="795">
        <v>100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IFERROR(__xludf.DUMMYFUNCTION("IMPORTRANGE(""https://docs.google.com/spreadsheets/d/1eHaY18a8A9IcSdp1K8H6x8fbOy06t2VsZHhMHf-1x7Y/edit?usp=sharing"",""แผน!GE88"")"),10)</f>
        <v>10</v>
      </c>
      <c r="J746" s="795">
        <v>10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IFERROR(__xludf.DUMMYFUNCTION("IMPORTRANGE(""https://docs.google.com/spreadsheets/d/1eHaY18a8A9IcSdp1K8H6x8fbOy06t2VsZHhMHf-1x7Y/edit?usp=sharing"",""แผน!GF88"")"),1)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IFERROR(__xludf.DUMMYFUNCTION("IMPORTRANGE(""https://docs.google.com/spreadsheets/d/1eHaY18a8A9IcSdp1K8H6x8fbOy06t2VsZHhMHf-1x7Y/edit?usp=sharing"",""แผน!GB88"")"),400)</f>
        <v>400</v>
      </c>
      <c r="J752" s="795">
        <v>400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400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IFERROR(__xludf.DUMMYFUNCTION("IMPORTRANGE(""https://docs.google.com/spreadsheets/d/1eHaY18a8A9IcSdp1K8H6x8fbOy06t2VsZHhMHf-1x7Y/edit?usp=sharing"",""แผน!GD88"")"),100)</f>
        <v>100</v>
      </c>
      <c r="J755" s="795">
        <v>100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100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2">I772</f>
        <v>40</v>
      </c>
      <c r="J758" s="504">
        <f t="shared" si="452"/>
        <v>40</v>
      </c>
      <c r="K758" s="505">
        <f t="shared" ref="K758:K759" ca="1" si="453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4">I774</f>
        <v>80</v>
      </c>
      <c r="J759" s="504">
        <f t="shared" si="454"/>
        <v>80</v>
      </c>
      <c r="K759" s="505">
        <f t="shared" ca="1" si="453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5">L761+L762</f>
        <v>0</v>
      </c>
      <c r="M760" s="133">
        <f t="shared" si="455"/>
        <v>0</v>
      </c>
      <c r="N760" s="133">
        <f t="shared" si="455"/>
        <v>0</v>
      </c>
      <c r="O760" s="133">
        <f t="shared" ref="O760:O768" si="456">IF(L760&gt;0,N760*100/L760,0)</f>
        <v>0</v>
      </c>
      <c r="P760" s="133">
        <f t="shared" ref="P760:P768" si="457">IF(M760&gt;0,N760*100/M760,0)</f>
        <v>0</v>
      </c>
      <c r="Q760" s="133">
        <f t="shared" ref="Q760:S760" ca="1" si="458">Q761+Q762</f>
        <v>338980</v>
      </c>
      <c r="R760" s="133">
        <f t="shared" ca="1" si="458"/>
        <v>306980</v>
      </c>
      <c r="S760" s="133">
        <f t="shared" ca="1" si="458"/>
        <v>292140</v>
      </c>
      <c r="T760" s="133">
        <f t="shared" ref="T760:T768" ca="1" si="459">IF(Q760&gt;0,S760*100/Q760,0)</f>
        <v>86.182075638680743</v>
      </c>
      <c r="U760" s="133">
        <f t="shared" ref="U760:U768" ca="1" si="460">IF(R760&gt;0,S760*100/R760,0)</f>
        <v>95.165808847481927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1">L764+L767</f>
        <v>0</v>
      </c>
      <c r="M761" s="49">
        <f t="shared" si="461"/>
        <v>0</v>
      </c>
      <c r="N761" s="49">
        <f t="shared" si="461"/>
        <v>0</v>
      </c>
      <c r="O761" s="49">
        <f t="shared" si="456"/>
        <v>0</v>
      </c>
      <c r="P761" s="49">
        <f t="shared" si="457"/>
        <v>0</v>
      </c>
      <c r="Q761" s="49">
        <f t="shared" ref="Q761:S762" si="462">Q764+Q767</f>
        <v>0</v>
      </c>
      <c r="R761" s="49">
        <f t="shared" si="462"/>
        <v>0</v>
      </c>
      <c r="S761" s="49">
        <f t="shared" si="462"/>
        <v>0</v>
      </c>
      <c r="T761" s="49">
        <f t="shared" si="459"/>
        <v>0</v>
      </c>
      <c r="U761" s="49">
        <f t="shared" si="460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1"/>
        <v>0</v>
      </c>
      <c r="M762" s="47">
        <f t="shared" si="461"/>
        <v>0</v>
      </c>
      <c r="N762" s="47">
        <f t="shared" si="461"/>
        <v>0</v>
      </c>
      <c r="O762" s="47">
        <f t="shared" si="456"/>
        <v>0</v>
      </c>
      <c r="P762" s="47">
        <f t="shared" si="457"/>
        <v>0</v>
      </c>
      <c r="Q762" s="47">
        <f t="shared" ca="1" si="462"/>
        <v>338980</v>
      </c>
      <c r="R762" s="47">
        <f t="shared" ca="1" si="462"/>
        <v>306980</v>
      </c>
      <c r="S762" s="47">
        <f t="shared" ca="1" si="462"/>
        <v>292140</v>
      </c>
      <c r="T762" s="47">
        <f t="shared" ca="1" si="459"/>
        <v>86.182075638680743</v>
      </c>
      <c r="U762" s="47">
        <f t="shared" ca="1" si="460"/>
        <v>95.165808847481927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3">L764+L765</f>
        <v>0</v>
      </c>
      <c r="M763" s="47">
        <f t="shared" si="463"/>
        <v>0</v>
      </c>
      <c r="N763" s="47">
        <f t="shared" si="463"/>
        <v>0</v>
      </c>
      <c r="O763" s="47">
        <f t="shared" si="456"/>
        <v>0</v>
      </c>
      <c r="P763" s="47">
        <f t="shared" si="457"/>
        <v>0</v>
      </c>
      <c r="Q763" s="47">
        <f t="shared" ref="Q763:S763" ca="1" si="464">Q764+Q765</f>
        <v>338980</v>
      </c>
      <c r="R763" s="47">
        <f t="shared" ca="1" si="464"/>
        <v>306980</v>
      </c>
      <c r="S763" s="47">
        <f t="shared" ca="1" si="464"/>
        <v>292140</v>
      </c>
      <c r="T763" s="47">
        <f t="shared" ca="1" si="459"/>
        <v>86.182075638680743</v>
      </c>
      <c r="U763" s="47">
        <f t="shared" ca="1" si="460"/>
        <v>95.165808847481927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6"/>
        <v>0</v>
      </c>
      <c r="P764" s="49">
        <f t="shared" si="457"/>
        <v>0</v>
      </c>
      <c r="Q764" s="49">
        <v>0</v>
      </c>
      <c r="R764" s="49">
        <v>0</v>
      </c>
      <c r="S764" s="49">
        <v>0</v>
      </c>
      <c r="T764" s="49">
        <f t="shared" si="459"/>
        <v>0</v>
      </c>
      <c r="U764" s="49">
        <f t="shared" si="460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6"/>
        <v>0</v>
      </c>
      <c r="P765" s="47">
        <f t="shared" si="457"/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IFERROR(__xludf.DUMMYFUNCTION("IMPORTRANGE(""https://docs.google.com/spreadsheets/d/1ItG2mGa2ceCfYo0BwxsXqNm01IGEUdYcSSLTEv9YCik/edit?usp=sharing"",""เบิกจ่ายกองทุน!AB88"")"),306980)</f>
        <v>306980</v>
      </c>
      <c r="S765" s="47">
        <f ca="1">IFERROR(__xludf.DUMMYFUNCTION("IMPORTRANGE(""https://docs.google.com/spreadsheets/d/1ItG2mGa2ceCfYo0BwxsXqNm01IGEUdYcSSLTEv9YCik/edit?usp=sharing"",""เบิกจ่ายกองทุน!AC88"")"),292140)</f>
        <v>292140</v>
      </c>
      <c r="T765" s="47">
        <f t="shared" ca="1" si="459"/>
        <v>86.182075638680743</v>
      </c>
      <c r="U765" s="47">
        <f t="shared" ca="1" si="460"/>
        <v>95.165808847481927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5">L767+L768</f>
        <v>0</v>
      </c>
      <c r="M766" s="47">
        <f t="shared" si="465"/>
        <v>0</v>
      </c>
      <c r="N766" s="47">
        <f t="shared" si="465"/>
        <v>0</v>
      </c>
      <c r="O766" s="47">
        <f t="shared" si="456"/>
        <v>0</v>
      </c>
      <c r="P766" s="47">
        <f t="shared" si="457"/>
        <v>0</v>
      </c>
      <c r="Q766" s="47">
        <f t="shared" ref="Q766:S766" si="466">Q767+Q768</f>
        <v>0</v>
      </c>
      <c r="R766" s="47">
        <f t="shared" si="466"/>
        <v>0</v>
      </c>
      <c r="S766" s="47">
        <f t="shared" si="466"/>
        <v>0</v>
      </c>
      <c r="T766" s="47">
        <f t="shared" si="459"/>
        <v>0</v>
      </c>
      <c r="U766" s="47">
        <f t="shared" si="460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6"/>
        <v>0</v>
      </c>
      <c r="P767" s="49">
        <f t="shared" si="457"/>
        <v>0</v>
      </c>
      <c r="Q767" s="49">
        <v>0</v>
      </c>
      <c r="R767" s="49">
        <v>0</v>
      </c>
      <c r="S767" s="49">
        <v>0</v>
      </c>
      <c r="T767" s="49">
        <f t="shared" si="459"/>
        <v>0</v>
      </c>
      <c r="U767" s="49">
        <f t="shared" si="460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6"/>
        <v>0</v>
      </c>
      <c r="P768" s="47">
        <f t="shared" si="457"/>
        <v>0</v>
      </c>
      <c r="Q768" s="47">
        <v>0</v>
      </c>
      <c r="R768" s="47">
        <v>0</v>
      </c>
      <c r="S768" s="47">
        <v>0</v>
      </c>
      <c r="T768" s="47">
        <f t="shared" si="459"/>
        <v>0</v>
      </c>
      <c r="U768" s="47">
        <f t="shared" si="460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IFERROR(__xludf.DUMMYFUNCTION("IMPORTRANGE(""https://docs.google.com/spreadsheets/d/1eHaY18a8A9IcSdp1K8H6x8fbOy06t2VsZHhMHf-1x7Y/edit?usp=sharing"",""แผน!FI88"")"),1)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IFERROR(__xludf.DUMMYFUNCTION("IMPORTRANGE(""https://docs.google.com/spreadsheets/d/1eHaY18a8A9IcSdp1K8H6x8fbOy06t2VsZHhMHf-1x7Y/edit?usp=sharing"",""แผน!FQ88"")"),40)</f>
        <v>40</v>
      </c>
      <c r="J772" s="169">
        <v>40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IFERROR(__xludf.DUMMYFUNCTION("IMPORTRANGE(""https://docs.google.com/spreadsheets/d/1eHaY18a8A9IcSdp1K8H6x8fbOy06t2VsZHhMHf-1x7Y/edit?usp=sharing"",""แผน!FR88"")"),80)</f>
        <v>80</v>
      </c>
      <c r="J774" s="169">
        <v>80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IFERROR(__xludf.DUMMYFUNCTION("IMPORTRANGE(""https://docs.google.com/spreadsheets/d/1eHaY18a8A9IcSdp1K8H6x8fbOy06t2VsZHhMHf-1x7Y/edit?usp=sharing"",""แผน!FS88"")"),80)</f>
        <v>80</v>
      </c>
      <c r="J775" s="169">
        <v>80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IFERROR(__xludf.DUMMYFUNCTION("IMPORTRANGE(""https://docs.google.com/spreadsheets/d/1eHaY18a8A9IcSdp1K8H6x8fbOy06t2VsZHhMHf-1x7Y/edit?usp=sharing"",""แผน!FT88"")"),40)</f>
        <v>40</v>
      </c>
      <c r="J776" s="378">
        <v>40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IFERROR(__xludf.DUMMYFUNCTION("IMPORTRANGE(""https://docs.google.com/spreadsheets/d/10OvvATaaLtwErnr3qtWFcTmtbfpFEt5Bsqel9sXx0uE/edit?usp=sharing"",""งานกองทุน!D88"")"),200743.15)</f>
        <v>200743.15</v>
      </c>
      <c r="J778" s="372">
        <f ca="1">IFERROR(__xludf.DUMMYFUNCTION("IMPORTRANGE(""https://docs.google.com/spreadsheets/d/10OvvATaaLtwErnr3qtWFcTmtbfpFEt5Bsqel9sXx0uE/edit?usp=sharing"",""งานกองทุน!F88"")"),653550.51)</f>
        <v>653550.51</v>
      </c>
      <c r="K778" s="47">
        <f t="shared" ref="K778:K785" ca="1" si="467">IF(I778&gt;0,J778*100/I778,0)</f>
        <v>325.56553486382973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IFERROR(__xludf.DUMMYFUNCTION("IMPORTRANGE(""https://docs.google.com/spreadsheets/d/10OvvATaaLtwErnr3qtWFcTmtbfpFEt5Bsqel9sXx0uE/edit?usp=sharing"",""งานกองทุน!C88"")"),12)</f>
        <v>12</v>
      </c>
      <c r="J779" s="372">
        <f ca="1">IFERROR(__xludf.DUMMYFUNCTION("IMPORTRANGE(""https://docs.google.com/spreadsheets/d/10OvvATaaLtwErnr3qtWFcTmtbfpFEt5Bsqel9sXx0uE/edit?usp=sharing"",""งานกองทุน!E88"")"),40)</f>
        <v>40</v>
      </c>
      <c r="K779" s="47">
        <f t="shared" ca="1" si="467"/>
        <v>333.33333333333331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372">
        <f ca="1">IFERROR(__xludf.DUMMYFUNCTION("IMPORTRANGE(""https://docs.google.com/spreadsheets/d/10OvvATaaLtwErnr3qtWFcTmtbfpFEt5Bsqel9sXx0uE/edit?usp=sharing"",""งานกองทุน!K88"")"),355713.53)</f>
        <v>355713.53</v>
      </c>
      <c r="K780" s="47">
        <f t="shared" ca="1" si="467"/>
        <v>22.23421565746294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IFERROR(__xludf.DUMMYFUNCTION("IMPORTRANGE(""https://docs.google.com/spreadsheets/d/10OvvATaaLtwErnr3qtWFcTmtbfpFEt5Bsqel9sXx0uE/edit?usp=sharing"",""งานกองทุน!H88"")"),59)</f>
        <v>59</v>
      </c>
      <c r="J781" s="372">
        <f ca="1">IFERROR(__xludf.DUMMYFUNCTION("IMPORTRANGE(""https://docs.google.com/spreadsheets/d/10OvvATaaLtwErnr3qtWFcTmtbfpFEt5Bsqel9sXx0uE/edit?usp=sharing"",""งานกองทุน!J88"")"),47)</f>
        <v>47</v>
      </c>
      <c r="K781" s="47">
        <f t="shared" ca="1" si="467"/>
        <v>79.66101694915254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IFERROR(__xludf.DUMMYFUNCTION("IMPORTRANGE(""https://docs.google.com/spreadsheets/d/10OvvATaaLtwErnr3qtWFcTmtbfpFEt5Bsqel9sXx0uE/edit?usp=sharing"",""งานกองทุน!N88"")"),28232)</f>
        <v>28232</v>
      </c>
      <c r="J782" s="372">
        <f ca="1">IFERROR(__xludf.DUMMYFUNCTION("IMPORTRANGE(""https://docs.google.com/spreadsheets/d/10OvvATaaLtwErnr3qtWFcTmtbfpFEt5Bsqel9sXx0uE/edit?usp=sharing"",""งานกองทุน!P88"")"),100410)</f>
        <v>100410</v>
      </c>
      <c r="K782" s="47">
        <f t="shared" ca="1" si="467"/>
        <v>355.66024369509773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IFERROR(__xludf.DUMMYFUNCTION("IMPORTRANGE(""https://docs.google.com/spreadsheets/d/10OvvATaaLtwErnr3qtWFcTmtbfpFEt5Bsqel9sXx0uE/edit?usp=sharing"",""งานกองทุน!M88"")"),14)</f>
        <v>14</v>
      </c>
      <c r="J783" s="372">
        <f ca="1">IFERROR(__xludf.DUMMYFUNCTION("IMPORTRANGE(""https://docs.google.com/spreadsheets/d/10OvvATaaLtwErnr3qtWFcTmtbfpFEt5Bsqel9sXx0uE/edit?usp=sharing"",""งานกองทุน!O88"")"),14)</f>
        <v>14</v>
      </c>
      <c r="K783" s="47">
        <f t="shared" ca="1" si="467"/>
        <v>100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IFERROR(__xludf.DUMMYFUNCTION("IMPORTRANGE(""https://docs.google.com/spreadsheets/d/10OvvATaaLtwErnr3qtWFcTmtbfpFEt5Bsqel9sXx0uE/edit?usp=sharing"",""งานกองทุน!S88"")"),3724000)</f>
        <v>3724000</v>
      </c>
      <c r="J784" s="372">
        <f ca="1">IFERROR(__xludf.DUMMYFUNCTION("IMPORTRANGE(""https://docs.google.com/spreadsheets/d/10OvvATaaLtwErnr3qtWFcTmtbfpFEt5Bsqel9sXx0uE/edit?usp=sharing"",""งานกองทุน!U88"")"),3950000)</f>
        <v>3950000</v>
      </c>
      <c r="K784" s="47">
        <f t="shared" ca="1" si="467"/>
        <v>106.0687432867884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IFERROR(__xludf.DUMMYFUNCTION("IMPORTRANGE(""https://docs.google.com/spreadsheets/d/10OvvATaaLtwErnr3qtWFcTmtbfpFEt5Bsqel9sXx0uE/edit?usp=sharing"",""งานกองทุน!R88"")"),133)</f>
        <v>133</v>
      </c>
      <c r="J785" s="205">
        <f ca="1">IFERROR(__xludf.DUMMYFUNCTION("IMPORTRANGE(""https://docs.google.com/spreadsheets/d/10OvvATaaLtwErnr3qtWFcTmtbfpFEt5Bsqel9sXx0uE/edit?usp=sharing"",""งานกองทุน!T88"")"),79)</f>
        <v>79</v>
      </c>
      <c r="K785" s="111">
        <f t="shared" ca="1" si="467"/>
        <v>59.398496240601503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G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landscape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4C349-B8D6-4841-AB15-EDCA2F35BE6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3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304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42396794</v>
      </c>
      <c r="M18" s="35">
        <f t="shared" ca="1" si="0"/>
        <v>42881856</v>
      </c>
      <c r="N18" s="35">
        <f t="shared" ca="1" si="0"/>
        <v>36657559.350000001</v>
      </c>
      <c r="O18" s="35">
        <f t="shared" ref="O18:O26" ca="1" si="1">IF(L18&gt;0,N18*100/L18,0)</f>
        <v>86.463045649159227</v>
      </c>
      <c r="P18" s="35">
        <f t="shared" ref="P18:P26" ca="1" si="2">IF(M18&gt;0,N18*100/M18,0)</f>
        <v>85.485011073214736</v>
      </c>
      <c r="Q18" s="35">
        <f t="shared" ref="Q18:S18" ca="1" si="3">Q19+Q20</f>
        <v>1891168</v>
      </c>
      <c r="R18" s="35">
        <f t="shared" ca="1" si="3"/>
        <v>1924558</v>
      </c>
      <c r="S18" s="35">
        <f t="shared" ca="1" si="3"/>
        <v>1156404.26</v>
      </c>
      <c r="T18" s="35">
        <f t="shared" ref="T18:T26" ca="1" si="4">IF(Q18&gt;0,S18*100/Q18,0)</f>
        <v>61.147621998680179</v>
      </c>
      <c r="U18" s="35">
        <f t="shared" ref="U18:U26" ca="1" si="5">IF(R18&gt;0,S18*100/R18,0)</f>
        <v>60.086745112384243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42396794</v>
      </c>
      <c r="M20" s="39">
        <f t="shared" ca="1" si="6"/>
        <v>42881856</v>
      </c>
      <c r="N20" s="39">
        <f t="shared" ca="1" si="6"/>
        <v>36657559.350000001</v>
      </c>
      <c r="O20" s="39">
        <f t="shared" ca="1" si="1"/>
        <v>86.463045649159227</v>
      </c>
      <c r="P20" s="39">
        <f t="shared" ca="1" si="2"/>
        <v>85.485011073214736</v>
      </c>
      <c r="Q20" s="39">
        <f t="shared" ca="1" si="7"/>
        <v>1891168</v>
      </c>
      <c r="R20" s="39">
        <f t="shared" ca="1" si="7"/>
        <v>1924558</v>
      </c>
      <c r="S20" s="39">
        <f t="shared" ca="1" si="7"/>
        <v>1156404.26</v>
      </c>
      <c r="T20" s="39">
        <f t="shared" ca="1" si="4"/>
        <v>61.147621998680179</v>
      </c>
      <c r="U20" s="39">
        <f t="shared" ca="1" si="5"/>
        <v>60.086745112384243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3029294</v>
      </c>
      <c r="M21" s="47">
        <f t="shared" ca="1" si="8"/>
        <v>3514356</v>
      </c>
      <c r="N21" s="47">
        <f t="shared" ca="1" si="8"/>
        <v>3234059.3499999996</v>
      </c>
      <c r="O21" s="47">
        <f t="shared" ca="1" si="1"/>
        <v>106.75950733075098</v>
      </c>
      <c r="P21" s="47">
        <f t="shared" ca="1" si="2"/>
        <v>92.024238580269028</v>
      </c>
      <c r="Q21" s="47">
        <f t="shared" ref="Q21:S21" ca="1" si="9">Q22+Q23</f>
        <v>1891168</v>
      </c>
      <c r="R21" s="47">
        <f t="shared" ca="1" si="9"/>
        <v>1924558</v>
      </c>
      <c r="S21" s="47">
        <f t="shared" ca="1" si="9"/>
        <v>1156404.26</v>
      </c>
      <c r="T21" s="47">
        <f t="shared" ca="1" si="4"/>
        <v>61.147621998680179</v>
      </c>
      <c r="U21" s="47">
        <f t="shared" ca="1" si="5"/>
        <v>60.086745112384243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3029294</v>
      </c>
      <c r="M23" s="47">
        <f t="shared" ca="1" si="12"/>
        <v>3514356</v>
      </c>
      <c r="N23" s="47">
        <f t="shared" ca="1" si="12"/>
        <v>3234059.3499999996</v>
      </c>
      <c r="O23" s="47">
        <f t="shared" ca="1" si="1"/>
        <v>106.75950733075098</v>
      </c>
      <c r="P23" s="47">
        <f t="shared" ca="1" si="2"/>
        <v>92.024238580269028</v>
      </c>
      <c r="Q23" s="47">
        <f t="shared" ca="1" si="11"/>
        <v>1891168</v>
      </c>
      <c r="R23" s="47">
        <f t="shared" ca="1" si="11"/>
        <v>1924558</v>
      </c>
      <c r="S23" s="47">
        <f t="shared" ca="1" si="11"/>
        <v>1156404.26</v>
      </c>
      <c r="T23" s="47">
        <f t="shared" ca="1" si="4"/>
        <v>61.147621998680179</v>
      </c>
      <c r="U23" s="47">
        <f t="shared" ca="1" si="5"/>
        <v>60.086745112384243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39367500</v>
      </c>
      <c r="M24" s="47">
        <f t="shared" ca="1" si="13"/>
        <v>39367500</v>
      </c>
      <c r="N24" s="47">
        <f t="shared" ca="1" si="13"/>
        <v>33423500</v>
      </c>
      <c r="O24" s="47">
        <f t="shared" ca="1" si="1"/>
        <v>84.901251031942593</v>
      </c>
      <c r="P24" s="47">
        <f t="shared" ca="1" si="2"/>
        <v>84.901251031942593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39367500</v>
      </c>
      <c r="M26" s="47">
        <f t="shared" ca="1" si="17"/>
        <v>39367500</v>
      </c>
      <c r="N26" s="47">
        <f t="shared" ca="1" si="17"/>
        <v>33423500</v>
      </c>
      <c r="O26" s="47">
        <f t="shared" ca="1" si="1"/>
        <v>84.901251031942593</v>
      </c>
      <c r="P26" s="47">
        <f t="shared" ca="1" si="2"/>
        <v>84.901251031942593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8538910</v>
      </c>
      <c r="M40" s="594">
        <f t="shared" ca="1" si="18"/>
        <v>8827672</v>
      </c>
      <c r="N40" s="594">
        <f t="shared" ca="1" si="18"/>
        <v>2708035.05</v>
      </c>
      <c r="O40" s="594">
        <f ca="1">IF(L40&gt;0,N40*100/L40,0)</f>
        <v>31.71406010837449</v>
      </c>
      <c r="P40" s="594">
        <f ca="1">IF(M40&gt;0,N40*100/M40,0)</f>
        <v>30.676661411978152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551520</v>
      </c>
      <c r="M44" s="79">
        <f t="shared" ca="1" si="19"/>
        <v>591112</v>
      </c>
      <c r="N44" s="79">
        <f t="shared" ca="1" si="19"/>
        <v>591112</v>
      </c>
      <c r="O44" s="79">
        <f t="shared" ref="O44:O52" ca="1" si="20">IF(L44&gt;0,N44*100/L44,0)</f>
        <v>107.17870612126487</v>
      </c>
      <c r="P44" s="79">
        <f t="shared" ref="P44:P52" ca="1" si="21">IF(M44&gt;0,N44*100/M44,0)</f>
        <v>100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551520</v>
      </c>
      <c r="M46" s="83">
        <f t="shared" ca="1" si="25"/>
        <v>591112</v>
      </c>
      <c r="N46" s="83">
        <f t="shared" ca="1" si="25"/>
        <v>591112</v>
      </c>
      <c r="O46" s="83">
        <f t="shared" ca="1" si="20"/>
        <v>107.17870612126487</v>
      </c>
      <c r="P46" s="83">
        <f t="shared" ca="1" si="21"/>
        <v>100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551520</v>
      </c>
      <c r="M47" s="47">
        <f t="shared" ca="1" si="27"/>
        <v>591112</v>
      </c>
      <c r="N47" s="47">
        <f t="shared" ca="1" si="27"/>
        <v>591112</v>
      </c>
      <c r="O47" s="47">
        <f t="shared" ca="1" si="20"/>
        <v>107.17870612126487</v>
      </c>
      <c r="P47" s="47">
        <f t="shared" ca="1" si="21"/>
        <v>100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IFERROR(__xludf.DUMMYFUNCTION("IMPORTRANGE(""https://docs.google.com/spreadsheets/d/1-uDff_7J0KD5mKrp0Vvzr7lt3OU09vwQwhkpOPPYv2Y/edit?usp=sharing"",""งบพรบ!V75"")"),591112)</f>
        <v>591112</v>
      </c>
      <c r="N49" s="47">
        <f ca="1">IFERROR(__xludf.DUMMYFUNCTION("IMPORTRANGE(""https://docs.google.com/spreadsheets/d/1-uDff_7J0KD5mKrp0Vvzr7lt3OU09vwQwhkpOPPYv2Y/edit?usp=sharing"",""งบพรบ!Y75"")"),591112)</f>
        <v>591112</v>
      </c>
      <c r="O49" s="47">
        <f t="shared" ca="1" si="20"/>
        <v>107.17870612126487</v>
      </c>
      <c r="P49" s="47">
        <f t="shared" ca="1" si="21"/>
        <v>100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6607000</v>
      </c>
      <c r="M59" s="106">
        <f t="shared" ca="1" si="31"/>
        <v>6638000</v>
      </c>
      <c r="N59" s="106">
        <f t="shared" ca="1" si="31"/>
        <v>659030.11</v>
      </c>
      <c r="O59" s="106">
        <f t="shared" ref="O59:O67" ca="1" si="32">IF(L59&gt;0,N59*100/L59,0)</f>
        <v>9.9747254427122751</v>
      </c>
      <c r="P59" s="106">
        <f t="shared" ref="P59:P67" ca="1" si="33">IF(M59&gt;0,N59*100/M59,0)</f>
        <v>9.9281426634528476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6607000</v>
      </c>
      <c r="M61" s="109">
        <f t="shared" ca="1" si="37"/>
        <v>6638000</v>
      </c>
      <c r="N61" s="109">
        <f t="shared" ca="1" si="37"/>
        <v>659030.11</v>
      </c>
      <c r="O61" s="109">
        <f t="shared" ca="1" si="32"/>
        <v>9.9747254427122751</v>
      </c>
      <c r="P61" s="109">
        <f t="shared" ca="1" si="33"/>
        <v>9.9281426634528476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663000</v>
      </c>
      <c r="M62" s="47">
        <f t="shared" ca="1" si="39"/>
        <v>694000</v>
      </c>
      <c r="N62" s="47">
        <f t="shared" ca="1" si="39"/>
        <v>659030.11</v>
      </c>
      <c r="O62" s="47">
        <f t="shared" ca="1" si="32"/>
        <v>99.401223227752638</v>
      </c>
      <c r="P62" s="47">
        <f t="shared" ca="1" si="33"/>
        <v>94.961110951008649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IFERROR(__xludf.DUMMYFUNCTION("IMPORTRANGE(""https://docs.google.com/spreadsheets/d/1-uDff_7J0KD5mKrp0Vvzr7lt3OU09vwQwhkpOPPYv2Y/edit?usp=sharing"",""งบพรบ!AH75"")"),694000)</f>
        <v>694000</v>
      </c>
      <c r="N64" s="47">
        <f ca="1">IFERROR(__xludf.DUMMYFUNCTION("IMPORTRANGE(""https://docs.google.com/spreadsheets/d/1-uDff_7J0KD5mKrp0Vvzr7lt3OU09vwQwhkpOPPYv2Y/edit?usp=sharing"",""งบพรบ!AJ75"")"),659030.11)</f>
        <v>659030.11</v>
      </c>
      <c r="O64" s="47">
        <f t="shared" ca="1" si="32"/>
        <v>99.401223227752638</v>
      </c>
      <c r="P64" s="47">
        <f t="shared" ca="1" si="33"/>
        <v>94.961110951008649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5944000</v>
      </c>
      <c r="M65" s="47">
        <f t="shared" ca="1" si="41"/>
        <v>5944000</v>
      </c>
      <c r="N65" s="47">
        <f t="shared" ca="1" si="41"/>
        <v>0</v>
      </c>
      <c r="O65" s="47">
        <f t="shared" ca="1" si="32"/>
        <v>0</v>
      </c>
      <c r="P65" s="47">
        <f t="shared" ca="1" si="33"/>
        <v>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t="shared" ca="1" si="32"/>
        <v>0</v>
      </c>
      <c r="P67" s="111">
        <f t="shared" ca="1" si="33"/>
        <v>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IFERROR(__xludf.DUMMYFUNCTION("IMPORTRANGE(""https://docs.google.com/spreadsheets/d/1eHaY18a8A9IcSdp1K8H6x8fbOy06t2VsZHhMHf-1x7Y/edit?usp=sharing"",""แผน!H75"")"),0)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IFERROR(__xludf.DUMMYFUNCTION("IMPORTRANGE(""https://docs.google.com/spreadsheets/d/1eHaY18a8A9IcSdp1K8H6x8fbOy06t2VsZHhMHf-1x7Y/edit?usp=sharing"",""แผน!I75"")"),0)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IFERROR(__xludf.DUMMYFUNCTION("IMPORTRANGE(""https://docs.google.com/spreadsheets/d/1eHaY18a8A9IcSdp1K8H6x8fbOy06t2VsZHhMHf-1x7Y/edit?usp=sharing"",""แผน!F75"")"),0)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IFERROR(__xludf.DUMMYFUNCTION("IMPORTRANGE(""https://docs.google.com/spreadsheets/d/1eHaY18a8A9IcSdp1K8H6x8fbOy06t2VsZHhMHf-1x7Y/edit?usp=sharing"",""แผน!G75"")"),0)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IFERROR(__xludf.DUMMYFUNCTION("IMPORTRANGE(""https://docs.google.com/spreadsheets/d/1eHaY18a8A9IcSdp1K8H6x8fbOy06t2VsZHhMHf-1x7Y/edit?usp=sharing"",""แผน!D75"")"),0)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IFERROR(__xludf.DUMMYFUNCTION("IMPORTRANGE(""https://docs.google.com/spreadsheets/d/1eHaY18a8A9IcSdp1K8H6x8fbOy06t2VsZHhMHf-1x7Y/edit?usp=sharing"",""แผน!E75"")"),0)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IFERROR(__xludf.DUMMYFUNCTION("IMPORTRANGE(""https://docs.google.com/spreadsheets/d/1eHaY18a8A9IcSdp1K8H6x8fbOy06t2VsZHhMHf-1x7Y/edit?usp=sharing"",""แผน!J75"")"),0)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IFERROR(__xludf.DUMMYFUNCTION("IMPORTRANGE(""https://docs.google.com/spreadsheets/d/1eHaY18a8A9IcSdp1K8H6x8fbOy06t2VsZHhMHf-1x7Y/edit?usp=sharing"",""แผน!N75"")"),0)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IFERROR(__xludf.DUMMYFUNCTION("IMPORTRANGE(""https://docs.google.com/spreadsheets/d/1eHaY18a8A9IcSdp1K8H6x8fbOy06t2VsZHhMHf-1x7Y/edit?usp=sharing"",""แผน!O75"")"),0)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IFERROR(__xludf.DUMMYFUNCTION("IMPORTRANGE(""https://docs.google.com/spreadsheets/d/1eHaY18a8A9IcSdp1K8H6x8fbOy06t2VsZHhMHf-1x7Y/edit?usp=sharing"",""แผน!R75"")"),0)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15</v>
      </c>
      <c r="J116" s="128">
        <f t="shared" si="74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191460</v>
      </c>
      <c r="R117" s="133">
        <f t="shared" ca="1" si="78"/>
        <v>191460</v>
      </c>
      <c r="S117" s="133">
        <f t="shared" ca="1" si="78"/>
        <v>170562.67</v>
      </c>
      <c r="T117" s="133">
        <f t="shared" ref="T117:T125" ca="1" si="79">IF(Q117&gt;0,S117*100/Q117,0)</f>
        <v>89.08527629792124</v>
      </c>
      <c r="U117" s="133">
        <f t="shared" ref="U117:U125" ca="1" si="80">IF(R117&gt;0,S117*100/R117,0)</f>
        <v>89.08527629792124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191460</v>
      </c>
      <c r="R119" s="47">
        <f t="shared" ca="1" si="82"/>
        <v>191460</v>
      </c>
      <c r="S119" s="47">
        <f t="shared" ca="1" si="82"/>
        <v>170562.67</v>
      </c>
      <c r="T119" s="47">
        <f t="shared" ca="1" si="79"/>
        <v>89.08527629792124</v>
      </c>
      <c r="U119" s="47">
        <f t="shared" ca="1" si="80"/>
        <v>89.08527629792124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191460</v>
      </c>
      <c r="R120" s="47">
        <f t="shared" ca="1" si="84"/>
        <v>191460</v>
      </c>
      <c r="S120" s="47">
        <f t="shared" ca="1" si="84"/>
        <v>170562.67</v>
      </c>
      <c r="T120" s="47">
        <f t="shared" ca="1" si="79"/>
        <v>89.08527629792124</v>
      </c>
      <c r="U120" s="47">
        <f t="shared" ca="1" si="80"/>
        <v>89.08527629792124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IFERROR(__xludf.DUMMYFUNCTION("IMPORTRANGE(""https://docs.google.com/spreadsheets/d/1ItG2mGa2ceCfYo0BwxsXqNm01IGEUdYcSSLTEv9YCik/edit?usp=sharing"",""เบิกจ่ายกองทุน!W75"")"),170562.67)</f>
        <v>170562.67</v>
      </c>
      <c r="T122" s="47">
        <f t="shared" ca="1" si="79"/>
        <v>89.08527629792124</v>
      </c>
      <c r="U122" s="47">
        <f t="shared" ca="1" si="80"/>
        <v>89.08527629792124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IFERROR(__xludf.DUMMYFUNCTION("IMPORTRANGE(""https://docs.google.com/spreadsheets/d/1eHaY18a8A9IcSdp1K8H6x8fbOy06t2VsZHhMHf-1x7Y/edit?usp=sharing"",""แผน!FF75"")"),15)</f>
        <v>15</v>
      </c>
      <c r="J127" s="169">
        <v>15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IFERROR(__xludf.DUMMYFUNCTION("IMPORTRANGE(""https://docs.google.com/spreadsheets/d/1eHaY18a8A9IcSdp1K8H6x8fbOy06t2VsZHhMHf-1x7Y/edit?usp=sharing"",""แผน!FG75"")"),1)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IFERROR(__xludf.DUMMYFUNCTION("IMPORTRANGE(""https://docs.google.com/spreadsheets/d/1eHaY18a8A9IcSdp1K8H6x8fbOy06t2VsZHhMHf-1x7Y/edit?usp=sharing"",""แผน!FH75"")"),15)</f>
        <v>15</v>
      </c>
      <c r="J129" s="169">
        <v>15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IFERROR(__xludf.DUMMYFUNCTION("IMPORTRANGE(""https://docs.google.com/spreadsheets/d/1eHaY18a8A9IcSdp1K8H6x8fbOy06t2VsZHhMHf-1x7Y/edit?usp=sharing"",""แผน!FI75"")"),1)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0</v>
      </c>
      <c r="J137" s="128">
        <f t="shared" si="90"/>
        <v>0</v>
      </c>
      <c r="K137" s="35">
        <f t="shared" ca="1" si="89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0</v>
      </c>
      <c r="J138" s="128">
        <f t="shared" si="90"/>
        <v>0</v>
      </c>
      <c r="K138" s="35">
        <f t="shared" ca="1" si="89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0</v>
      </c>
      <c r="M139" s="133">
        <f t="shared" ca="1" si="91"/>
        <v>0</v>
      </c>
      <c r="N139" s="133">
        <f t="shared" ca="1" si="91"/>
        <v>0</v>
      </c>
      <c r="O139" s="133">
        <f t="shared" ref="O139:O147" ca="1" si="92">IF(L139&gt;0,N139*100/L139,0)</f>
        <v>0</v>
      </c>
      <c r="P139" s="133">
        <f t="shared" ref="P139:P147" ca="1" si="93">IF(M139&gt;0,N139*100/M139,0)</f>
        <v>0</v>
      </c>
      <c r="Q139" s="133">
        <f t="shared" ref="Q139:S139" ca="1" si="94">Q140+Q141</f>
        <v>0</v>
      </c>
      <c r="R139" s="133">
        <f t="shared" ca="1" si="94"/>
        <v>0</v>
      </c>
      <c r="S139" s="133">
        <f t="shared" ca="1" si="94"/>
        <v>0</v>
      </c>
      <c r="T139" s="133">
        <f t="shared" ref="T139:T147" ca="1" si="95">IF(Q139&gt;0,S139*100/Q139,0)</f>
        <v>0</v>
      </c>
      <c r="U139" s="133">
        <f t="shared" ref="U139:U147" ca="1" si="96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0</v>
      </c>
      <c r="M141" s="47">
        <f t="shared" ca="1" si="97"/>
        <v>0</v>
      </c>
      <c r="N141" s="47">
        <f t="shared" ca="1" si="97"/>
        <v>0</v>
      </c>
      <c r="O141" s="47">
        <f t="shared" ca="1" si="92"/>
        <v>0</v>
      </c>
      <c r="P141" s="47">
        <f t="shared" ca="1" si="93"/>
        <v>0</v>
      </c>
      <c r="Q141" s="47">
        <f t="shared" ca="1" si="98"/>
        <v>0</v>
      </c>
      <c r="R141" s="47">
        <f t="shared" ca="1" si="98"/>
        <v>0</v>
      </c>
      <c r="S141" s="47">
        <f t="shared" ca="1" si="98"/>
        <v>0</v>
      </c>
      <c r="T141" s="47">
        <f t="shared" ca="1" si="95"/>
        <v>0</v>
      </c>
      <c r="U141" s="47">
        <f t="shared" ca="1" si="96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0</v>
      </c>
      <c r="M142" s="47">
        <f t="shared" ca="1" si="99"/>
        <v>0</v>
      </c>
      <c r="N142" s="47">
        <f t="shared" ca="1" si="99"/>
        <v>0</v>
      </c>
      <c r="O142" s="47">
        <f t="shared" ca="1" si="92"/>
        <v>0</v>
      </c>
      <c r="P142" s="47">
        <f t="shared" ca="1" si="93"/>
        <v>0</v>
      </c>
      <c r="Q142" s="47">
        <f t="shared" ref="Q142:S142" ca="1" si="100">Q143+Q144</f>
        <v>0</v>
      </c>
      <c r="R142" s="47">
        <f t="shared" ca="1" si="100"/>
        <v>0</v>
      </c>
      <c r="S142" s="47">
        <f t="shared" ca="1" si="100"/>
        <v>0</v>
      </c>
      <c r="T142" s="47">
        <f t="shared" ca="1" si="95"/>
        <v>0</v>
      </c>
      <c r="U142" s="47">
        <f t="shared" ca="1" si="96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t="shared" ca="1" si="92"/>
        <v>0</v>
      </c>
      <c r="P144" s="47">
        <f t="shared" ca="1" si="93"/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t="shared" ca="1" si="95"/>
        <v>0</v>
      </c>
      <c r="U144" s="47">
        <f t="shared" ca="1" si="96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t="shared" ca="1" si="95"/>
        <v>0</v>
      </c>
      <c r="U147" s="47">
        <f t="shared" ca="1" si="96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IFERROR(__xludf.DUMMYFUNCTION("IMPORTRANGE(""https://docs.google.com/spreadsheets/d/1eHaY18a8A9IcSdp1K8H6x8fbOy06t2VsZHhMHf-1x7Y/edit?usp=sharing"",""แผน!U75"")"),0)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IFERROR(__xludf.DUMMYFUNCTION("IMPORTRANGE(""https://docs.google.com/spreadsheets/d/1eHaY18a8A9IcSdp1K8H6x8fbOy06t2VsZHhMHf-1x7Y/edit?usp=sharing"",""แผน!V75"")"),0)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IFERROR(__xludf.DUMMYFUNCTION("IMPORTRANGE(""https://docs.google.com/spreadsheets/d/1eHaY18a8A9IcSdp1K8H6x8fbOy06t2VsZHhMHf-1x7Y/edit?usp=sharing"",""แผน!W75"")"),0)</f>
        <v>0</v>
      </c>
      <c r="J152" s="169">
        <v>0</v>
      </c>
      <c r="K152" s="47">
        <f t="shared" ca="1" si="103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IFERROR(__xludf.DUMMYFUNCTION("IMPORTRANGE(""https://docs.google.com/spreadsheets/d/1eHaY18a8A9IcSdp1K8H6x8fbOy06t2VsZHhMHf-1x7Y/edit?usp=sharing"",""แผน!X75"")"),0)</f>
        <v>0</v>
      </c>
      <c r="J153" s="169">
        <v>0</v>
      </c>
      <c r="K153" s="47">
        <f t="shared" ca="1" si="103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IFERROR(__xludf.DUMMYFUNCTION("IMPORTRANGE(""https://docs.google.com/spreadsheets/d/1eHaY18a8A9IcSdp1K8H6x8fbOy06t2VsZHhMHf-1x7Y/edit?usp=sharing"",""แผน!Y75"")"),0)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IFERROR(__xludf.DUMMYFUNCTION("IMPORTRANGE(""https://docs.google.com/spreadsheets/d/1eHaY18a8A9IcSdp1K8H6x8fbOy06t2VsZHhMHf-1x7Y/edit?usp=sharing"",""แผน!Z75"")"),0)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IFERROR(__xludf.DUMMYFUNCTION("IMPORTRANGE(""https://docs.google.com/spreadsheets/d/1eHaY18a8A9IcSdp1K8H6x8fbOy06t2VsZHhMHf-1x7Y/edit?usp=sharing"",""แผน!Z75"")"),0)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IFERROR(__xludf.DUMMYFUNCTION("IMPORTRANGE(""https://docs.google.com/spreadsheets/d/1eHaY18a8A9IcSdp1K8H6x8fbOy06t2VsZHhMHf-1x7Y/edit?usp=sharing"",""แผน!Z75"")"),0)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7</v>
      </c>
      <c r="J172" s="222">
        <f t="shared" si="118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36750</v>
      </c>
      <c r="N173" s="133">
        <f t="shared" ca="1" si="119"/>
        <v>36750</v>
      </c>
      <c r="O173" s="133">
        <f t="shared" ref="O173:O181" ca="1" si="120">IF(L173&gt;0,N173*100/L173,0)</f>
        <v>187.59571209800919</v>
      </c>
      <c r="P173" s="133">
        <f t="shared" ref="P173:P181" ca="1" si="121">IF(M173&gt;0,N173*100/M173,0)</f>
        <v>100</v>
      </c>
      <c r="Q173" s="133">
        <f t="shared" ref="Q173:S173" ca="1" si="122">Q174+Q175</f>
        <v>0</v>
      </c>
      <c r="R173" s="133">
        <f t="shared" ca="1" si="122"/>
        <v>0</v>
      </c>
      <c r="S173" s="133">
        <f t="shared" ca="1" si="122"/>
        <v>0</v>
      </c>
      <c r="T173" s="133">
        <f t="shared" ref="T173:T181" ca="1" si="123">IF(Q173&gt;0,S173*100/Q173,0)</f>
        <v>0</v>
      </c>
      <c r="U173" s="133">
        <f t="shared" ref="U173:U181" ca="1" si="124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36750</v>
      </c>
      <c r="N175" s="47">
        <f t="shared" ca="1" si="125"/>
        <v>36750</v>
      </c>
      <c r="O175" s="47">
        <f t="shared" ca="1" si="120"/>
        <v>187.59571209800919</v>
      </c>
      <c r="P175" s="47">
        <f t="shared" ca="1" si="121"/>
        <v>100</v>
      </c>
      <c r="Q175" s="47">
        <f t="shared" ca="1" si="126"/>
        <v>0</v>
      </c>
      <c r="R175" s="47">
        <f t="shared" ca="1" si="126"/>
        <v>0</v>
      </c>
      <c r="S175" s="47">
        <f t="shared" ca="1" si="126"/>
        <v>0</v>
      </c>
      <c r="T175" s="47">
        <f t="shared" ca="1" si="123"/>
        <v>0</v>
      </c>
      <c r="U175" s="47">
        <f t="shared" ca="1" si="124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36750</v>
      </c>
      <c r="N176" s="47">
        <f t="shared" ca="1" si="127"/>
        <v>36750</v>
      </c>
      <c r="O176" s="47">
        <f t="shared" ca="1" si="120"/>
        <v>187.59571209800919</v>
      </c>
      <c r="P176" s="47">
        <f t="shared" ca="1" si="121"/>
        <v>100</v>
      </c>
      <c r="Q176" s="47">
        <f t="shared" ref="Q176:S176" ca="1" si="128">Q177+Q178</f>
        <v>0</v>
      </c>
      <c r="R176" s="47">
        <f t="shared" ca="1" si="128"/>
        <v>0</v>
      </c>
      <c r="S176" s="47">
        <f t="shared" ca="1" si="128"/>
        <v>0</v>
      </c>
      <c r="T176" s="47">
        <f t="shared" ca="1" si="123"/>
        <v>0</v>
      </c>
      <c r="U176" s="47">
        <f t="shared" ca="1" si="124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t="shared" ca="1" si="120"/>
        <v>187.59571209800919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t="shared" ca="1" si="123"/>
        <v>0</v>
      </c>
      <c r="U178" s="47">
        <f t="shared" ca="1" si="124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IFERROR(__xludf.DUMMYFUNCTION("IMPORTRANGE(""https://docs.google.com/spreadsheets/d/1eHaY18a8A9IcSdp1K8H6x8fbOy06t2VsZHhMHf-1x7Y/edit?usp=sharing"",""แผน!AA75"")"),7)</f>
        <v>7</v>
      </c>
      <c r="J183" s="169">
        <v>7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112400</v>
      </c>
      <c r="M186" s="133">
        <f t="shared" ca="1" si="133"/>
        <v>123100</v>
      </c>
      <c r="N186" s="133">
        <f t="shared" ca="1" si="133"/>
        <v>123100</v>
      </c>
      <c r="O186" s="133">
        <f t="shared" ref="O186:O194" ca="1" si="134">IF(L186&gt;0,N186*100/L186,0)</f>
        <v>109.51957295373666</v>
      </c>
      <c r="P186" s="133">
        <f t="shared" ref="P186:P194" ca="1" si="135">IF(M186&gt;0,N186*100/M186,0)</f>
        <v>100</v>
      </c>
      <c r="Q186" s="133">
        <f t="shared" ref="Q186:S186" ca="1" si="136">Q187+Q188</f>
        <v>42000</v>
      </c>
      <c r="R186" s="133">
        <f t="shared" ca="1" si="136"/>
        <v>32900</v>
      </c>
      <c r="S186" s="133">
        <f t="shared" ca="1" si="136"/>
        <v>32900</v>
      </c>
      <c r="T186" s="133">
        <f t="shared" ref="T186:T194" ca="1" si="137">IF(Q186&gt;0,S186*100/Q186,0)</f>
        <v>78.333333333333329</v>
      </c>
      <c r="U186" s="133">
        <f t="shared" ref="U186:U194" ca="1" si="138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112400</v>
      </c>
      <c r="M188" s="47">
        <f t="shared" ca="1" si="139"/>
        <v>123100</v>
      </c>
      <c r="N188" s="47">
        <f t="shared" ca="1" si="139"/>
        <v>123100</v>
      </c>
      <c r="O188" s="47">
        <f t="shared" ca="1" si="134"/>
        <v>109.51957295373666</v>
      </c>
      <c r="P188" s="47">
        <f t="shared" ca="1" si="135"/>
        <v>100</v>
      </c>
      <c r="Q188" s="47">
        <f t="shared" ca="1" si="140"/>
        <v>42000</v>
      </c>
      <c r="R188" s="47">
        <f t="shared" ca="1" si="140"/>
        <v>32900</v>
      </c>
      <c r="S188" s="47">
        <f t="shared" ca="1" si="140"/>
        <v>32900</v>
      </c>
      <c r="T188" s="47">
        <f t="shared" ca="1" si="137"/>
        <v>78.333333333333329</v>
      </c>
      <c r="U188" s="47">
        <f t="shared" ca="1" si="138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112400</v>
      </c>
      <c r="M189" s="47">
        <f t="shared" ca="1" si="141"/>
        <v>123100</v>
      </c>
      <c r="N189" s="47">
        <f t="shared" ca="1" si="141"/>
        <v>123100</v>
      </c>
      <c r="O189" s="47">
        <f t="shared" ca="1" si="134"/>
        <v>109.51957295373666</v>
      </c>
      <c r="P189" s="47">
        <f t="shared" ca="1" si="135"/>
        <v>100</v>
      </c>
      <c r="Q189" s="47">
        <f t="shared" ref="Q189:S189" ca="1" si="142">Q190+Q191</f>
        <v>42000</v>
      </c>
      <c r="R189" s="47">
        <f t="shared" ca="1" si="142"/>
        <v>32900</v>
      </c>
      <c r="S189" s="47">
        <f t="shared" ca="1" si="142"/>
        <v>32900</v>
      </c>
      <c r="T189" s="47">
        <f t="shared" ca="1" si="137"/>
        <v>78.333333333333329</v>
      </c>
      <c r="U189" s="47">
        <f t="shared" ca="1" si="138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IFERROR(__xludf.DUMMYFUNCTION("IMPORTRANGE(""https://docs.google.com/spreadsheets/d/1-uDff_7J0KD5mKrp0Vvzr7lt3OU09vwQwhkpOPPYv2Y/edit?usp=sharing"",""งบพรบ!CZ75"")"),123100)</f>
        <v>123100</v>
      </c>
      <c r="N191" s="47">
        <f ca="1">IFERROR(__xludf.DUMMYFUNCTION("IMPORTRANGE(""https://docs.google.com/spreadsheets/d/1-uDff_7J0KD5mKrp0Vvzr7lt3OU09vwQwhkpOPPYv2Y/edit?usp=sharing"",""งบพรบ!DB75"")"),123100)</f>
        <v>123100</v>
      </c>
      <c r="O191" s="47">
        <f t="shared" ca="1" si="134"/>
        <v>109.51957295373666</v>
      </c>
      <c r="P191" s="47">
        <f t="shared" ca="1" si="135"/>
        <v>100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IFERROR(__xludf.DUMMYFUNCTION("IMPORTRANGE(""https://docs.google.com/spreadsheets/d/1ItG2mGa2ceCfYo0BwxsXqNm01IGEUdYcSSLTEv9YCik/edit?usp=sharing"",""เบิกจ่ายกองทุน!BR75"")"),32900)</f>
        <v>32900</v>
      </c>
      <c r="S191" s="47">
        <f ca="1">IFERROR(__xludf.DUMMYFUNCTION("IMPORTRANGE(""https://docs.google.com/spreadsheets/d/1ItG2mGa2ceCfYo0BwxsXqNm01IGEUdYcSSLTEv9YCik/edit?usp=sharing"",""เบิกจ่ายกองทุน!BS75"")"),32900)</f>
        <v>32900</v>
      </c>
      <c r="T191" s="47">
        <f t="shared" ca="1" si="137"/>
        <v>78.333333333333329</v>
      </c>
      <c r="U191" s="47">
        <f t="shared" ca="1" si="138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IFERROR(__xludf.DUMMYFUNCTION("IMPORTRANGE(""https://docs.google.com/spreadsheets/d/1eHaY18a8A9IcSdp1K8H6x8fbOy06t2VsZHhMHf-1x7Y/edit?usp=sharing"",""แผน!AE75"")"),4)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0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0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3</v>
      </c>
      <c r="J202" s="236">
        <f t="shared" si="146"/>
        <v>3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15000</v>
      </c>
      <c r="M203" s="46"/>
      <c r="N203" s="133">
        <f>N204+N205+N206+N207</f>
        <v>15807</v>
      </c>
      <c r="O203" s="133">
        <f ca="1">IF(L203&gt;0,N203*100/L203,0)</f>
        <v>105.38</v>
      </c>
      <c r="P203" s="133">
        <f>IF(M203&gt;0,N203*100/M203,0)</f>
        <v>0</v>
      </c>
      <c r="Q203" s="637">
        <f ca="1">Q204+Q205+Q206+Q207</f>
        <v>42000</v>
      </c>
      <c r="R203" s="180"/>
      <c r="S203" s="638">
        <f>S204+S205+S206+S207</f>
        <v>32900</v>
      </c>
      <c r="T203" s="638">
        <f ca="1">IF(Q203&gt;0,S203*100/Q203,0)</f>
        <v>78.333333333333329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639">
        <v>3437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IFERROR(__xludf.DUMMYFUNCTION("IMPORTRANGE(""https://docs.google.com/spreadsheets/d/1eHaY18a8A9IcSdp1K8H6x8fbOy06t2VsZHhMHf-1x7Y/edit?usp=sharing"",""แผน!AH75"")"),0)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IFERROR(__xludf.DUMMYFUNCTION("IMPORTRANGE(""https://docs.google.com/spreadsheets/d/1eHaY18a8A9IcSdp1K8H6x8fbOy06t2VsZHhMHf-1x7Y/edit?usp=sharing"",""แผน!AI75"")"),0)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639">
        <v>32900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639">
        <v>12370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IFERROR(__xludf.DUMMYFUNCTION("IMPORTRANGE(""https://docs.google.com/spreadsheets/d/1eHaY18a8A9IcSdp1K8H6x8fbOy06t2VsZHhMHf-1x7Y/edit?usp=sharing"",""แผน!AK75"")"),3)</f>
        <v>3</v>
      </c>
      <c r="J209" s="169">
        <v>3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IFERROR(__xludf.DUMMYFUNCTION("IMPORTRANGE(""https://docs.google.com/spreadsheets/d/1eHaY18a8A9IcSdp1K8H6x8fbOy06t2VsZHhMHf-1x7Y/edit?usp=sharing"",""แผน!JX75"")"),3)</f>
        <v>3</v>
      </c>
      <c r="J211" s="169">
        <v>3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IFERROR(__xludf.DUMMYFUNCTION("IMPORTRANGE(""https://docs.google.com/spreadsheets/d/1eHaY18a8A9IcSdp1K8H6x8fbOy06t2VsZHhMHf-1x7Y/edit?usp=sharing"",""แผน!JY75"")"),0)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IFERROR(__xludf.DUMMYFUNCTION("IMPORTRANGE(""https://docs.google.com/spreadsheets/d/1eHaY18a8A9IcSdp1K8H6x8fbOy06t2VsZHhMHf-1x7Y/edit?usp=sharing"",""แผน!AM75"")"),0)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IFERROR(__xludf.DUMMYFUNCTION("IMPORTRANGE(""https://docs.google.com/spreadsheets/d/1eHaY18a8A9IcSdp1K8H6x8fbOy06t2VsZHhMHf-1x7Y/edit?usp=sharing"",""แผน!AN75"")"),0)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IFERROR(__xludf.DUMMYFUNCTION("IMPORTRANGE(""https://docs.google.com/spreadsheets/d/1eHaY18a8A9IcSdp1K8H6x8fbOy06t2VsZHhMHf-1x7Y/edit?usp=sharing"",""แผน!AO75"")"),0)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IFERROR(__xludf.DUMMYFUNCTION("IMPORTRANGE(""https://docs.google.com/spreadsheets/d/1eHaY18a8A9IcSdp1K8H6x8fbOy06t2VsZHhMHf-1x7Y/edit?usp=sharing"",""แผน!LY75"")"),0)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IFERROR(__xludf.DUMMYFUNCTION("IMPORTRANGE(""https://docs.google.com/spreadsheets/d/1eHaY18a8A9IcSdp1K8H6x8fbOy06t2VsZHhMHf-1x7Y/edit?usp=sharing"",""แผน!AP75"")"),0)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IFERROR(__xludf.DUMMYFUNCTION("IMPORTRANGE(""https://docs.google.com/spreadsheets/d/1eHaY18a8A9IcSdp1K8H6x8fbOy06t2VsZHhMHf-1x7Y/edit?usp=sharing"",""แผน!AP75"")"),0)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50000</v>
      </c>
      <c r="J221" s="236">
        <f t="shared" si="150"/>
        <v>50000</v>
      </c>
      <c r="K221" s="237">
        <f t="shared" ca="1" si="149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8500</v>
      </c>
      <c r="M222" s="46"/>
      <c r="N222" s="133">
        <f>N223+N224+N225</f>
        <v>7100</v>
      </c>
      <c r="O222" s="133">
        <f ca="1">IF(L222&gt;0,N222*100/L222,0)</f>
        <v>83.529411764705884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IFERROR(__xludf.DUMMYFUNCTION("IMPORTRANGE(""https://docs.google.com/spreadsheets/d/1eHaY18a8A9IcSdp1K8H6x8fbOy06t2VsZHhMHf-1x7Y/edit?usp=sharing"",""แผน!AR75"")"),2500)</f>
        <v>2500</v>
      </c>
      <c r="M223" s="46"/>
      <c r="N223" s="639">
        <v>1100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IFERROR(__xludf.DUMMYFUNCTION("IMPORTRANGE(""https://docs.google.com/spreadsheets/d/1eHaY18a8A9IcSdp1K8H6x8fbOy06t2VsZHhMHf-1x7Y/edit?usp=sharing"",""แผน!AS75"")"),6000)</f>
        <v>6000</v>
      </c>
      <c r="M224" s="46"/>
      <c r="N224" s="639">
        <v>6000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IFERROR(__xludf.DUMMYFUNCTION("IMPORTRANGE(""https://docs.google.com/spreadsheets/d/1eHaY18a8A9IcSdp1K8H6x8fbOy06t2VsZHhMHf-1x7Y/edit?usp=sharing"",""แผน!AT75"")"),0)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IFERROR(__xludf.DUMMYFUNCTION("IMPORTRANGE(""https://docs.google.com/spreadsheets/d/1eHaY18a8A9IcSdp1K8H6x8fbOy06t2VsZHhMHf-1x7Y/edit?usp=sharing"",""แผน!AV75"")"),50000)</f>
        <v>50000</v>
      </c>
      <c r="J228" s="169">
        <v>50000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IFERROR(__xludf.DUMMYFUNCTION("IMPORTRANGE(""https://docs.google.com/spreadsheets/d/1eHaY18a8A9IcSdp1K8H6x8fbOy06t2VsZHhMHf-1x7Y/edit?usp=sharing"",""แผน!AV75"")"),50000)</f>
        <v>50000</v>
      </c>
      <c r="J229" s="169">
        <v>50000</v>
      </c>
      <c r="K229" s="154">
        <f t="shared" ca="1" si="151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IFERROR(__xludf.DUMMYFUNCTION("IMPORTRANGE(""https://docs.google.com/spreadsheets/d/1eHaY18a8A9IcSdp1K8H6x8fbOy06t2VsZHhMHf-1x7Y/edit?usp=sharing"",""แผน!AU75"")"),0)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IFERROR(__xludf.DUMMYFUNCTION("IMPORTRANGE(""https://docs.google.com/spreadsheets/d/1eHaY18a8A9IcSdp1K8H6x8fbOy06t2VsZHhMHf-1x7Y/edit?usp=sharing"",""แผน!AX75"")"),0)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IFERROR(__xludf.DUMMYFUNCTION("IMPORTRANGE(""https://docs.google.com/spreadsheets/d/1eHaY18a8A9IcSdp1K8H6x8fbOy06t2VsZHhMHf-1x7Y/edit?usp=sharing"",""แผน!AY75"")"),0)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IFERROR(__xludf.DUMMYFUNCTION("IMPORTRANGE(""https://docs.google.com/spreadsheets/d/1eHaY18a8A9IcSdp1K8H6x8fbOy06t2VsZHhMHf-1x7Y/edit?usp=sharing"",""แผน!AZ75"")"),0)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IFERROR(__xludf.DUMMYFUNCTION("IMPORTRANGE(""https://docs.google.com/spreadsheets/d/1eHaY18a8A9IcSdp1K8H6x8fbOy06t2VsZHhMHf-1x7Y/edit?usp=sharing"",""แผน!BA75"")"),0)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IFERROR(__xludf.DUMMYFUNCTION("IMPORTRANGE(""https://docs.google.com/spreadsheets/d/1eHaY18a8A9IcSdp1K8H6x8fbOy06t2VsZHhMHf-1x7Y/edit?usp=sharing"",""แผน!BG75"")"),0)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IFERROR(__xludf.DUMMYFUNCTION("IMPORTRANGE(""https://docs.google.com/spreadsheets/d/1eHaY18a8A9IcSdp1K8H6x8fbOy06t2VsZHhMHf-1x7Y/edit?usp=sharing"",""แผน!BB75"")"),0)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IFERROR(__xludf.DUMMYFUNCTION("IMPORTRANGE(""https://docs.google.com/spreadsheets/d/1eHaY18a8A9IcSdp1K8H6x8fbOy06t2VsZHhMHf-1x7Y/edit?usp=sharing"",""แผน!BC75"")"),0)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IFERROR(__xludf.DUMMYFUNCTION("IMPORTRANGE(""https://docs.google.com/spreadsheets/d/1eHaY18a8A9IcSdp1K8H6x8fbOy06t2VsZHhMHf-1x7Y/edit?usp=sharing"",""แผน!BD75"")"),0)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IFERROR(__xludf.DUMMYFUNCTION("IMPORTRANGE(""https://docs.google.com/spreadsheets/d/1eHaY18a8A9IcSdp1K8H6x8fbOy06t2VsZHhMHf-1x7Y/edit?usp=sharing"",""แผน!BE75"")"),0)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IFERROR(__xludf.DUMMYFUNCTION("IMPORTRANGE(""https://docs.google.com/spreadsheets/d/1eHaY18a8A9IcSdp1K8H6x8fbOy06t2VsZHhMHf-1x7Y/edit?usp=sharing"",""แผน!BH75"")"),0)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22</v>
      </c>
      <c r="J265" s="686">
        <f t="shared" si="162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23700</v>
      </c>
      <c r="N266" s="441">
        <f t="shared" ca="1" si="163"/>
        <v>23700</v>
      </c>
      <c r="O266" s="441">
        <f t="shared" ref="O266:O274" ca="1" si="164">IF(L266&gt;0,N266*100/L266,0)</f>
        <v>474</v>
      </c>
      <c r="P266" s="441">
        <f t="shared" ref="P266:P274" ca="1" si="165">IF(M266&gt;0,N266*100/M266,0)</f>
        <v>100</v>
      </c>
      <c r="Q266" s="441">
        <f t="shared" ref="Q266:S266" ca="1" si="166">Q267+Q268</f>
        <v>50660</v>
      </c>
      <c r="R266" s="441">
        <f t="shared" ca="1" si="166"/>
        <v>40510</v>
      </c>
      <c r="S266" s="441">
        <f t="shared" ca="1" si="166"/>
        <v>40510</v>
      </c>
      <c r="T266" s="441">
        <f t="shared" ref="T266:T274" ca="1" si="167">IF(Q266&gt;0,S266*100/Q266,0)</f>
        <v>79.964469009080148</v>
      </c>
      <c r="U266" s="441">
        <f t="shared" ref="U266:U274" ca="1" si="168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23700</v>
      </c>
      <c r="N268" s="352">
        <f t="shared" ca="1" si="169"/>
        <v>23700</v>
      </c>
      <c r="O268" s="352">
        <f t="shared" ca="1" si="164"/>
        <v>474</v>
      </c>
      <c r="P268" s="352">
        <f t="shared" ca="1" si="165"/>
        <v>100</v>
      </c>
      <c r="Q268" s="352">
        <f t="shared" ca="1" si="170"/>
        <v>50660</v>
      </c>
      <c r="R268" s="352">
        <f t="shared" ca="1" si="170"/>
        <v>40510</v>
      </c>
      <c r="S268" s="352">
        <f t="shared" ca="1" si="170"/>
        <v>40510</v>
      </c>
      <c r="T268" s="352">
        <f t="shared" ca="1" si="167"/>
        <v>79.964469009080148</v>
      </c>
      <c r="U268" s="352">
        <f t="shared" ca="1" si="168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23700</v>
      </c>
      <c r="N269" s="352">
        <f t="shared" ca="1" si="171"/>
        <v>23700</v>
      </c>
      <c r="O269" s="352">
        <f t="shared" ca="1" si="164"/>
        <v>474</v>
      </c>
      <c r="P269" s="352">
        <f t="shared" ca="1" si="165"/>
        <v>100</v>
      </c>
      <c r="Q269" s="352">
        <f t="shared" ref="Q269:S269" ca="1" si="172">Q270+Q271</f>
        <v>50660</v>
      </c>
      <c r="R269" s="352">
        <f t="shared" ca="1" si="172"/>
        <v>40510</v>
      </c>
      <c r="S269" s="352">
        <f t="shared" ca="1" si="172"/>
        <v>40510</v>
      </c>
      <c r="T269" s="352">
        <f t="shared" ca="1" si="167"/>
        <v>79.964469009080148</v>
      </c>
      <c r="U269" s="352">
        <f t="shared" ca="1" si="168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IFERROR(__xludf.DUMMYFUNCTION("IMPORTRANGE(""https://docs.google.com/spreadsheets/d/1-uDff_7J0KD5mKrp0Vvzr7lt3OU09vwQwhkpOPPYv2Y/edit?usp=sharing"",""งบพรบ!DE75"")"),5000)</f>
        <v>5000</v>
      </c>
      <c r="M271" s="352">
        <f ca="1">IFERROR(__xludf.DUMMYFUNCTION("IMPORTRANGE(""https://docs.google.com/spreadsheets/d/1-uDff_7J0KD5mKrp0Vvzr7lt3OU09vwQwhkpOPPYv2Y/edit?usp=sharing"",""งบพรบ!DJ75"")"),23700)</f>
        <v>23700</v>
      </c>
      <c r="N271" s="352">
        <f ca="1">IFERROR(__xludf.DUMMYFUNCTION("IMPORTRANGE(""https://docs.google.com/spreadsheets/d/1-uDff_7J0KD5mKrp0Vvzr7lt3OU09vwQwhkpOPPYv2Y/edit?usp=sharing"",""งบพรบ!DL75"")"),23700)</f>
        <v>23700</v>
      </c>
      <c r="O271" s="352">
        <f t="shared" ca="1" si="164"/>
        <v>474</v>
      </c>
      <c r="P271" s="352">
        <f t="shared" ca="1" si="165"/>
        <v>100</v>
      </c>
      <c r="Q271" s="352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IFERROR(__xludf.DUMMYFUNCTION("IMPORTRANGE(""https://docs.google.com/spreadsheets/d/1ItG2mGa2ceCfYo0BwxsXqNm01IGEUdYcSSLTEv9YCik/edit?usp=sharing"",""เบิกจ่ายกองทุน!AQ75"")"),40510)</f>
        <v>40510</v>
      </c>
      <c r="S271" s="352">
        <f ca="1">IFERROR(__xludf.DUMMYFUNCTION("IMPORTRANGE(""https://docs.google.com/spreadsheets/d/1ItG2mGa2ceCfYo0BwxsXqNm01IGEUdYcSSLTEv9YCik/edit?usp=sharing"",""เบิกจ่ายกองทุน!AR75"")"),40510)</f>
        <v>40510</v>
      </c>
      <c r="T271" s="352">
        <f t="shared" ca="1" si="167"/>
        <v>79.964469009080148</v>
      </c>
      <c r="U271" s="352">
        <f t="shared" ca="1" si="168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IFERROR(__xludf.DUMMYFUNCTION("IMPORTRANGE(""https://docs.google.com/spreadsheets/d/1-uDff_7J0KD5mKrp0Vvzr7lt3OU09vwQwhkpOPPYv2Y/edit?usp=sharing"",""งบพรบ!DH75"")"),0)</f>
        <v>0</v>
      </c>
      <c r="M274" s="352">
        <f ca="1">IFERROR(__xludf.DUMMYFUNCTION("IMPORTRANGE(""https://docs.google.com/spreadsheets/d/1-uDff_7J0KD5mKrp0Vvzr7lt3OU09vwQwhkpOPPYv2Y/edit?usp=sharing"",""งบพรบ!DK75"")"),0)</f>
        <v>0</v>
      </c>
      <c r="N274" s="352">
        <f ca="1">IFERROR(__xludf.DUMMYFUNCTION("IMPORTRANGE(""https://docs.google.com/spreadsheets/d/1-uDff_7J0KD5mKrp0Vvzr7lt3OU09vwQwhkpOPPYv2Y/edit?usp=sharing"",""งบพรบ!DM75"")"),0)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IFERROR(__xludf.DUMMYFUNCTION("IMPORTRANGE(""https://docs.google.com/spreadsheets/d/1eHaY18a8A9IcSdp1K8H6x8fbOy06t2VsZHhMHf-1x7Y/edit?usp=sharing"",""แผน!EC75"")"),22)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IFERROR(__xludf.DUMMYFUNCTION("IMPORTRANGE(""https://docs.google.com/spreadsheets/d/1eHaY18a8A9IcSdp1K8H6x8fbOy06t2VsZHhMHf-1x7Y/edit?usp=sharing"",""แผน!EE75"")"),0)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IFERROR(__xludf.DUMMYFUNCTION("IMPORTRANGE(""https://docs.google.com/spreadsheets/d/1eHaY18a8A9IcSdp1K8H6x8fbOy06t2VsZHhMHf-1x7Y/edit?usp=sharing"",""แผน!ED75"")"),0)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IFERROR(__xludf.DUMMYFUNCTION("IMPORTRANGE(""https://docs.google.com/spreadsheets/d/1eHaY18a8A9IcSdp1K8H6x8fbOy06t2VsZHhMHf-1x7Y/edit?usp=sharing"",""แผน!ED75"")"),0)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IFERROR(__xludf.DUMMYFUNCTION("IMPORTRANGE(""https://docs.google.com/spreadsheets/d/1eHaY18a8A9IcSdp1K8H6x8fbOy06t2VsZHhMHf-1x7Y/edit?usp=sharing"",""แผน!ED75"")"),0)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hidden="1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hidden="1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0</v>
      </c>
      <c r="J302" s="321">
        <f t="shared" si="192"/>
        <v>0</v>
      </c>
      <c r="K302" s="322">
        <f ca="1">IF(I302&gt;0,J302*100/I302,0)</f>
        <v>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hidden="1" x14ac:dyDescent="0.3">
      <c r="A303" s="129"/>
      <c r="B303" s="200"/>
      <c r="C303" s="19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0</v>
      </c>
      <c r="R303" s="133">
        <f t="shared" ca="1" si="196"/>
        <v>0</v>
      </c>
      <c r="S303" s="133">
        <f t="shared" ca="1" si="196"/>
        <v>0</v>
      </c>
      <c r="T303" s="133">
        <f t="shared" ref="T303:T311" ca="1" si="197">IF(Q303&gt;0,S303*100/Q303,0)</f>
        <v>0</v>
      </c>
      <c r="U303" s="133">
        <f t="shared" ref="U303:U311" ca="1" si="198">IF(R303&gt;0,S303*100/R303,0)</f>
        <v>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0</v>
      </c>
      <c r="R305" s="47">
        <f t="shared" ca="1" si="200"/>
        <v>0</v>
      </c>
      <c r="S305" s="47">
        <f t="shared" ca="1" si="200"/>
        <v>0</v>
      </c>
      <c r="T305" s="47">
        <f t="shared" ca="1" si="197"/>
        <v>0</v>
      </c>
      <c r="U305" s="47">
        <f t="shared" ca="1" si="198"/>
        <v>0</v>
      </c>
    </row>
    <row r="306" spans="1:21" ht="18.75" hidden="1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0</v>
      </c>
      <c r="R306" s="47">
        <f t="shared" ca="1" si="202"/>
        <v>0</v>
      </c>
      <c r="S306" s="47">
        <f t="shared" ca="1" si="202"/>
        <v>0</v>
      </c>
      <c r="T306" s="47">
        <f t="shared" ca="1" si="197"/>
        <v>0</v>
      </c>
      <c r="U306" s="47">
        <f t="shared" ca="1" si="198"/>
        <v>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t="shared" ca="1" si="197"/>
        <v>0</v>
      </c>
      <c r="U308" s="47">
        <f t="shared" ca="1" si="198"/>
        <v>0</v>
      </c>
    </row>
    <row r="309" spans="1:21" ht="18.75" hidden="1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hidden="1" x14ac:dyDescent="0.3">
      <c r="A312" s="139"/>
      <c r="B312" s="140"/>
      <c r="C312" s="19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IFERROR(__xludf.DUMMYFUNCTION("IMPORTRANGE(""https://docs.google.com/spreadsheets/d/1eHaY18a8A9IcSdp1K8H6x8fbOy06t2VsZHhMHf-1x7Y/edit?usp=sharing"",""แผน!EF75"")"),0)</f>
        <v>0</v>
      </c>
      <c r="J314" s="169">
        <v>0</v>
      </c>
      <c r="K314" s="47">
        <f ca="1">IF(I314&gt;0,J314*100/I314,0)</f>
        <v>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2</v>
      </c>
      <c r="J319" s="321">
        <f t="shared" si="205"/>
        <v>2</v>
      </c>
      <c r="K319" s="322">
        <f ca="1">IF(I319&gt;0,J319*100/I319,0)</f>
        <v>100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x14ac:dyDescent="0.3">
      <c r="A320" s="129"/>
      <c r="B320" s="200"/>
      <c r="C320" s="40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235000</v>
      </c>
      <c r="M320" s="133">
        <f t="shared" ca="1" si="206"/>
        <v>235000</v>
      </c>
      <c r="N320" s="133">
        <f t="shared" ca="1" si="206"/>
        <v>219089.18</v>
      </c>
      <c r="O320" s="133">
        <f t="shared" ref="O320:O328" ca="1" si="207">IF(L320&gt;0,N320*100/L320,0)</f>
        <v>93.229438297872335</v>
      </c>
      <c r="P320" s="133">
        <f t="shared" ref="P320:P328" ca="1" si="208">IF(M320&gt;0,N320*100/M320,0)</f>
        <v>93.229438297872335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235000</v>
      </c>
      <c r="M322" s="47">
        <f t="shared" ca="1" si="212"/>
        <v>235000</v>
      </c>
      <c r="N322" s="47">
        <f t="shared" ca="1" si="212"/>
        <v>219089.18</v>
      </c>
      <c r="O322" s="47">
        <f t="shared" ca="1" si="207"/>
        <v>93.229438297872335</v>
      </c>
      <c r="P322" s="47">
        <f t="shared" ca="1" si="208"/>
        <v>93.229438297872335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235000</v>
      </c>
      <c r="M323" s="47">
        <f t="shared" ca="1" si="214"/>
        <v>235000</v>
      </c>
      <c r="N323" s="47">
        <f t="shared" ca="1" si="214"/>
        <v>219089.18</v>
      </c>
      <c r="O323" s="47">
        <f t="shared" ca="1" si="207"/>
        <v>93.229438297872335</v>
      </c>
      <c r="P323" s="47">
        <f t="shared" ca="1" si="208"/>
        <v>93.229438297872335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IFERROR(__xludf.DUMMYFUNCTION("IMPORTRANGE(""https://docs.google.com/spreadsheets/d/1-uDff_7J0KD5mKrp0Vvzr7lt3OU09vwQwhkpOPPYv2Y/edit?usp=sharing"",""งบพรบ!EN75"")"),235000)</f>
        <v>235000</v>
      </c>
      <c r="N325" s="47">
        <f ca="1">IFERROR(__xludf.DUMMYFUNCTION("IMPORTRANGE(""https://docs.google.com/spreadsheets/d/1-uDff_7J0KD5mKrp0Vvzr7lt3OU09vwQwhkpOPPYv2Y/edit?usp=sharing"",""งบพรบ!EP75"")"),219089.18)</f>
        <v>219089.18</v>
      </c>
      <c r="O325" s="47">
        <f t="shared" ca="1" si="207"/>
        <v>93.229438297872335</v>
      </c>
      <c r="P325" s="47">
        <f t="shared" ca="1" si="208"/>
        <v>93.229438297872335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x14ac:dyDescent="0.3">
      <c r="A329" s="139"/>
      <c r="B329" s="140"/>
      <c r="C329" s="40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IFERROR(__xludf.DUMMYFUNCTION("IMPORTRANGE(""https://docs.google.com/spreadsheets/d/1eHaY18a8A9IcSdp1K8H6x8fbOy06t2VsZHhMHf-1x7Y/edit?usp=sharing"",""แผน!EJ75"")"),2)</f>
        <v>2</v>
      </c>
      <c r="J330" s="169">
        <v>2</v>
      </c>
      <c r="K330" s="47">
        <f ca="1">IF(I330&gt;0,J330*100/I330,0)</f>
        <v>100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IFERROR(__xludf.DUMMYFUNCTION("IMPORTRANGE(""https://docs.google.com/spreadsheets/d/1eHaY18a8A9IcSdp1K8H6x8fbOy06t2VsZHhMHf-1x7Y/edit?usp=sharing"",""แผน!EK75"")"),2000)</f>
        <v>2000</v>
      </c>
      <c r="J332" s="718">
        <f ca="1">J344+J347+J348+J349+J353+J354</f>
        <v>7629</v>
      </c>
      <c r="K332" s="719">
        <f ca="1">IF(I332&gt;0,J332*100/I332,0)</f>
        <v>381.45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183000</v>
      </c>
      <c r="M333" s="133">
        <f t="shared" ca="1" si="218"/>
        <v>183000</v>
      </c>
      <c r="N333" s="133">
        <f t="shared" ca="1" si="218"/>
        <v>170000</v>
      </c>
      <c r="O333" s="133">
        <f t="shared" ref="O333:O341" ca="1" si="219">IF(L333&gt;0,N333*100/L333,0)</f>
        <v>92.896174863387984</v>
      </c>
      <c r="P333" s="133">
        <f t="shared" ref="P333:P341" ca="1" si="220">IF(M333&gt;0,N333*100/M333,0)</f>
        <v>92.896174863387984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183000</v>
      </c>
      <c r="M335" s="47">
        <f t="shared" ca="1" si="224"/>
        <v>183000</v>
      </c>
      <c r="N335" s="47">
        <f t="shared" ca="1" si="224"/>
        <v>170000</v>
      </c>
      <c r="O335" s="47">
        <f t="shared" ca="1" si="219"/>
        <v>92.896174863387984</v>
      </c>
      <c r="P335" s="47">
        <f t="shared" ca="1" si="220"/>
        <v>92.896174863387984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183000</v>
      </c>
      <c r="M336" s="47">
        <f t="shared" ca="1" si="226"/>
        <v>183000</v>
      </c>
      <c r="N336" s="47">
        <f t="shared" ca="1" si="226"/>
        <v>170000</v>
      </c>
      <c r="O336" s="47">
        <f t="shared" ca="1" si="219"/>
        <v>92.896174863387984</v>
      </c>
      <c r="P336" s="47">
        <f t="shared" ca="1" si="220"/>
        <v>92.896174863387984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IFERROR(__xludf.DUMMYFUNCTION("IMPORTRANGE(""https://docs.google.com/spreadsheets/d/1-uDff_7J0KD5mKrp0Vvzr7lt3OU09vwQwhkpOPPYv2Y/edit?usp=sharing"",""งบพรบ!EX75"")"),183000)</f>
        <v>183000</v>
      </c>
      <c r="N338" s="47">
        <f ca="1">IFERROR(__xludf.DUMMYFUNCTION("IMPORTRANGE(""https://docs.google.com/spreadsheets/d/1-uDff_7J0KD5mKrp0Vvzr7lt3OU09vwQwhkpOPPYv2Y/edit?usp=sharing"",""งบพรบ!EZ75"")"),170000)</f>
        <v>170000</v>
      </c>
      <c r="O338" s="47">
        <f t="shared" ca="1" si="219"/>
        <v>92.896174863387984</v>
      </c>
      <c r="P338" s="47">
        <f t="shared" ca="1" si="220"/>
        <v>92.896174863387984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t="shared" ca="1" si="219"/>
        <v>0</v>
      </c>
      <c r="P341" s="47">
        <f t="shared" ca="1" si="220"/>
        <v>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2323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IFERROR(__xludf.DUMMYFUNCTION("IMPORTRANGE(""https://docs.google.com/spreadsheets/d/1awYsYK3VOup2i3Pq_Yjnu8DRu_mYwSBnCR2QPthd0rU/edit?usp=sharing"",""ศูนย์ยกเว้นโฉนด!D75"")"),2229)</f>
        <v>2229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IFERROR(__xludf.DUMMYFUNCTION("IMPORTRANGE(""https://docs.google.com/spreadsheets/d/1eHaY18a8A9IcSdp1K8H6x8fbOy06t2VsZHhMHf-1x7Y/edit?usp=sharing"",""แผน!EL75"")"),5)</f>
        <v>5</v>
      </c>
      <c r="J346" s="372">
        <f ca="1">IFERROR(__xludf.DUMMYFUNCTION("IMPORTRANGE(""https://docs.google.com/spreadsheets/d/1awYsYK3VOup2i3Pq_Yjnu8DRu_mYwSBnCR2QPthd0rU/edit?usp=sharing"",""ศูนย์รวม!E75"")"),7)</f>
        <v>7</v>
      </c>
      <c r="K346" s="47">
        <f ca="1">IF(I346&gt;0,J346*100/I346,0)</f>
        <v>140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IFERROR(__xludf.DUMMYFUNCTION("IMPORTRANGE(""https://docs.google.com/spreadsheets/d/1awYsYK3VOup2i3Pq_Yjnu8DRu_mYwSBnCR2QPthd0rU/edit?usp=sharing"",""ศูนย์ยกเว้นโฉนด!G75"")"),67)</f>
        <v>67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5306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IFERROR(__xludf.DUMMYFUNCTION("IMPORTRANGE(""https://docs.google.com/spreadsheets/d/1awYsYK3VOup2i3Pq_Yjnu8DRu_mYwSBnCR2QPthd0rU/edit?usp=sharing"",""โฉนดM3!G75"")"),0)</f>
        <v>0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IFERROR(__xludf.DUMMYFUNCTION("IMPORTRANGE(""https://docs.google.com/spreadsheets/d/1awYsYK3VOup2i3Pq_Yjnu8DRu_mYwSBnCR2QPthd0rU/edit?usp=sharing"",""โฉนดM3!H75"")"),4778)</f>
        <v>4778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IFERROR(__xludf.DUMMYFUNCTION("IMPORTRANGE(""https://docs.google.com/spreadsheets/d/1awYsYK3VOup2i3Pq_Yjnu8DRu_mYwSBnCR2QPthd0rU/edit?usp=sharing"",""โฉนดM3!I75"")"),528)</f>
        <v>528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825400</v>
      </c>
      <c r="M356" s="133">
        <f t="shared" ca="1" si="230"/>
        <v>997010</v>
      </c>
      <c r="N356" s="133">
        <f t="shared" ca="1" si="230"/>
        <v>885253.76</v>
      </c>
      <c r="O356" s="133">
        <f t="shared" ref="O356:O364" ca="1" si="231">IF(L356&gt;0,N356*100/L356,0)</f>
        <v>107.25148534044099</v>
      </c>
      <c r="P356" s="133">
        <f t="shared" ref="P356:P364" ca="1" si="232">IF(M356&gt;0,N356*100/M356,0)</f>
        <v>88.790860673413505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825400</v>
      </c>
      <c r="M358" s="47">
        <f t="shared" ca="1" si="236"/>
        <v>997010</v>
      </c>
      <c r="N358" s="47">
        <f t="shared" ca="1" si="236"/>
        <v>885253.76</v>
      </c>
      <c r="O358" s="47">
        <f t="shared" ca="1" si="231"/>
        <v>107.25148534044099</v>
      </c>
      <c r="P358" s="47">
        <f t="shared" ca="1" si="232"/>
        <v>88.790860673413505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825400</v>
      </c>
      <c r="M359" s="47">
        <f t="shared" ca="1" si="238"/>
        <v>997010</v>
      </c>
      <c r="N359" s="47">
        <f t="shared" ca="1" si="238"/>
        <v>885253.76</v>
      </c>
      <c r="O359" s="47">
        <f t="shared" ca="1" si="231"/>
        <v>107.25148534044099</v>
      </c>
      <c r="P359" s="47">
        <f t="shared" ca="1" si="232"/>
        <v>88.790860673413505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IFERROR(__xludf.DUMMYFUNCTION("IMPORTRANGE(""https://docs.google.com/spreadsheets/d/1-uDff_7J0KD5mKrp0Vvzr7lt3OU09vwQwhkpOPPYv2Y/edit?usp=sharing"",""งบพรบ!FH75"")"),997010)</f>
        <v>997010</v>
      </c>
      <c r="N361" s="47">
        <f ca="1">IFERROR(__xludf.DUMMYFUNCTION("IMPORTRANGE(""https://docs.google.com/spreadsheets/d/1-uDff_7J0KD5mKrp0Vvzr7lt3OU09vwQwhkpOPPYv2Y/edit?usp=sharing"",""งบพรบ!FJ75"")"),885253.76)</f>
        <v>885253.76</v>
      </c>
      <c r="O361" s="47">
        <f t="shared" ca="1" si="231"/>
        <v>107.25148534044099</v>
      </c>
      <c r="P361" s="47">
        <f t="shared" ca="1" si="232"/>
        <v>88.790860673413505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325</v>
      </c>
      <c r="J365" s="236">
        <f t="shared" ca="1" si="242"/>
        <v>399</v>
      </c>
      <c r="K365" s="237">
        <f ca="1">IF(I365&gt;0,J365*100/I365,0)</f>
        <v>122.76923076923077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IFERROR(__xludf.DUMMYFUNCTION("IMPORTRANGE(""https://docs.google.com/spreadsheets/d/1tdoBKaGub7dwA3U6UFTqxio9LNnvDCQjHKmttSEBsFQ/edit?usp=sharing"",""จัดที่ดิน!AB75"")"),310)</f>
        <v>310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IFERROR(__xludf.DUMMYFUNCTION("IMPORTRANGE(""https://docs.google.com/spreadsheets/d/1eHaY18a8A9IcSdp1K8H6x8fbOy06t2VsZHhMHf-1x7Y/edit?usp=sharing"",""แผน!EW75"")"),1350)</f>
        <v>1350</v>
      </c>
      <c r="J368" s="729">
        <f ca="1">IFERROR(__xludf.DUMMYFUNCTION("IMPORTRANGE(""https://docs.google.com/spreadsheets/d/1tdoBKaGub7dwA3U6UFTqxio9LNnvDCQjHKmttSEBsFQ/edit?usp=sharing"",""จัดที่ดิน!AC75"")"),3235.55)</f>
        <v>3235.55</v>
      </c>
      <c r="K368" s="47">
        <f t="shared" ca="1" si="243"/>
        <v>239.67037037037036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IFERROR(__xludf.DUMMYFUNCTION("IMPORTRANGE(""https://docs.google.com/spreadsheets/d/1eHaY18a8A9IcSdp1K8H6x8fbOy06t2VsZHhMHf-1x7Y/edit?usp=sharing"",""แผน!EX75"")"),325)</f>
        <v>325</v>
      </c>
      <c r="J369" s="372">
        <f ca="1">IFERROR(__xludf.DUMMYFUNCTION("IMPORTRANGE(""https://docs.google.com/spreadsheets/d/1tdoBKaGub7dwA3U6UFTqxio9LNnvDCQjHKmttSEBsFQ/edit?usp=sharing"",""จัดที่ดิน!AD75"")"),596)</f>
        <v>596</v>
      </c>
      <c r="K369" s="47">
        <f t="shared" ca="1" si="243"/>
        <v>183.38461538461539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IFERROR(__xludf.DUMMYFUNCTION("IMPORTRANGE(""https://docs.google.com/spreadsheets/d/1tdoBKaGub7dwA3U6UFTqxio9LNnvDCQjHKmttSEBsFQ/edit?usp=sharing"",""จัดที่ดิน!AE75"")"),8635.87)</f>
        <v>8635.8700000000008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IFERROR(__xludf.DUMMYFUNCTION("IMPORTRANGE(""https://docs.google.com/spreadsheets/d/1eHaY18a8A9IcSdp1K8H6x8fbOy06t2VsZHhMHf-1x7Y/edit?usp=sharing"",""แผน!EY75"")"),325)</f>
        <v>325</v>
      </c>
      <c r="J371" s="372">
        <f ca="1">IFERROR(__xludf.DUMMYFUNCTION("IMPORTRANGE(""https://docs.google.com/spreadsheets/d/1tdoBKaGub7dwA3U6UFTqxio9LNnvDCQjHKmttSEBsFQ/edit?usp=sharing"",""จัดที่ดิน!AF75"")"),399)</f>
        <v>399</v>
      </c>
      <c r="K371" s="47">
        <f t="shared" ca="1" si="243"/>
        <v>122.76923076923077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IFERROR(__xludf.DUMMYFUNCTION("IMPORTRANGE(""https://docs.google.com/spreadsheets/d/1tdoBKaGub7dwA3U6UFTqxio9LNnvDCQjHKmttSEBsFQ/edit?usp=sharing"",""จัดที่ดิน!AG75"")"),6167.3)</f>
        <v>6167.3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1000</v>
      </c>
      <c r="J374" s="737">
        <f t="shared" ca="1" si="244"/>
        <v>0</v>
      </c>
      <c r="K374" s="738">
        <f ca="1">IF(I374&gt;0,J374*100/I374,0)</f>
        <v>0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45700</v>
      </c>
      <c r="M375" s="133">
        <f t="shared" ca="1" si="245"/>
        <v>45700</v>
      </c>
      <c r="N375" s="133">
        <f t="shared" ca="1" si="245"/>
        <v>30190</v>
      </c>
      <c r="O375" s="133">
        <f t="shared" ref="O375:O383" ca="1" si="246">IF(L375&gt;0,N375*100/L375,0)</f>
        <v>66.061269146608311</v>
      </c>
      <c r="P375" s="133">
        <f t="shared" ref="P375:P383" ca="1" si="247">IF(M375&gt;0,N375*100/M375,0)</f>
        <v>66.061269146608311</v>
      </c>
      <c r="Q375" s="133">
        <f t="shared" ref="Q375:S375" ca="1" si="248">Q376+Q377</f>
        <v>62500</v>
      </c>
      <c r="R375" s="133">
        <f t="shared" ca="1" si="248"/>
        <v>62500</v>
      </c>
      <c r="S375" s="133">
        <f t="shared" ca="1" si="248"/>
        <v>19662</v>
      </c>
      <c r="T375" s="133">
        <f t="shared" ref="T375:T383" ca="1" si="249">IF(Q375&gt;0,S375*100/Q375,0)</f>
        <v>31.459199999999999</v>
      </c>
      <c r="U375" s="133">
        <f t="shared" ref="U375:U383" ca="1" si="250">IF(R375&gt;0,S375*100/R375,0)</f>
        <v>31.459199999999999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45700</v>
      </c>
      <c r="M377" s="47">
        <f t="shared" ca="1" si="251"/>
        <v>45700</v>
      </c>
      <c r="N377" s="47">
        <f t="shared" ca="1" si="251"/>
        <v>30190</v>
      </c>
      <c r="O377" s="47">
        <f t="shared" ca="1" si="246"/>
        <v>66.061269146608311</v>
      </c>
      <c r="P377" s="47">
        <f t="shared" ca="1" si="247"/>
        <v>66.061269146608311</v>
      </c>
      <c r="Q377" s="47">
        <f t="shared" ca="1" si="252"/>
        <v>62500</v>
      </c>
      <c r="R377" s="47">
        <f t="shared" ca="1" si="252"/>
        <v>62500</v>
      </c>
      <c r="S377" s="47">
        <f t="shared" ca="1" si="252"/>
        <v>19662</v>
      </c>
      <c r="T377" s="47">
        <f t="shared" ca="1" si="249"/>
        <v>31.459199999999999</v>
      </c>
      <c r="U377" s="47">
        <f t="shared" ca="1" si="250"/>
        <v>31.459199999999999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45700</v>
      </c>
      <c r="M378" s="47">
        <f t="shared" ca="1" si="253"/>
        <v>45700</v>
      </c>
      <c r="N378" s="47">
        <f t="shared" ca="1" si="253"/>
        <v>30190</v>
      </c>
      <c r="O378" s="47">
        <f t="shared" ca="1" si="246"/>
        <v>66.061269146608311</v>
      </c>
      <c r="P378" s="47">
        <f t="shared" ca="1" si="247"/>
        <v>66.061269146608311</v>
      </c>
      <c r="Q378" s="47">
        <f t="shared" ref="Q378:S378" ca="1" si="254">Q379+Q380</f>
        <v>62500</v>
      </c>
      <c r="R378" s="47">
        <f t="shared" ca="1" si="254"/>
        <v>62500</v>
      </c>
      <c r="S378" s="47">
        <f t="shared" ca="1" si="254"/>
        <v>19662</v>
      </c>
      <c r="T378" s="47">
        <f t="shared" ca="1" si="249"/>
        <v>31.459199999999999</v>
      </c>
      <c r="U378" s="47">
        <f t="shared" ca="1" si="250"/>
        <v>31.459199999999999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IFERROR(__xludf.DUMMYFUNCTION("IMPORTRANGE(""https://docs.google.com/spreadsheets/d/1-uDff_7J0KD5mKrp0Vvzr7lt3OU09vwQwhkpOPPYv2Y/edit?usp=sharing"",""งบพรบ!IL75"")"),30190)</f>
        <v>30190</v>
      </c>
      <c r="O380" s="47">
        <f t="shared" ca="1" si="246"/>
        <v>66.061269146608311</v>
      </c>
      <c r="P380" s="47">
        <f t="shared" ca="1" si="247"/>
        <v>66.061269146608311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IFERROR(__xludf.DUMMYFUNCTION("IMPORTRANGE(""https://docs.google.com/spreadsheets/d/1ItG2mGa2ceCfYo0BwxsXqNm01IGEUdYcSSLTEv9YCik/edit?usp=sharing"",""เบิกจ่ายกองทุน!BY75"")"),19662)</f>
        <v>19662</v>
      </c>
      <c r="T380" s="47">
        <f t="shared" ca="1" si="249"/>
        <v>31.459199999999999</v>
      </c>
      <c r="U380" s="47">
        <f t="shared" ca="1" si="250"/>
        <v>31.459199999999999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IFERROR(__xludf.DUMMYFUNCTION("IMPORTRANGE(""https://docs.google.com/spreadsheets/d/1w5rwWK1o49a35cNtocGL0gxDwhFSTZUQu90BiH9_zqM/edit?usp=sharing"",""RTK!H75"")"),0)</f>
        <v>0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IFERROR(__xludf.DUMMYFUNCTION("IMPORTRANGE(""https://docs.google.com/spreadsheets/d/1w5rwWK1o49a35cNtocGL0gxDwhFSTZUQu90BiH9_zqM/edit?usp=sharing"",""RTK!G75"")"),1000)</f>
        <v>1000</v>
      </c>
      <c r="J386" s="372">
        <f ca="1">IFERROR(__xludf.DUMMYFUNCTION("IMPORTRANGE(""https://docs.google.com/spreadsheets/d/1w5rwWK1o49a35cNtocGL0gxDwhFSTZUQu90BiH9_zqM/edit?usp=sharing"",""RTK!I75"")"),0)</f>
        <v>0</v>
      </c>
      <c r="K386" s="47">
        <f t="shared" ca="1" si="257"/>
        <v>0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IFERROR(__xludf.DUMMYFUNCTION("IMPORTRANGE(""https://docs.google.com/spreadsheets/d/1w5rwWK1o49a35cNtocGL0gxDwhFSTZUQu90BiH9_zqM/edit?usp=sharing"",""RTK!L75"")"),0)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IFERROR(__xludf.DUMMYFUNCTION("IMPORTRANGE(""https://docs.google.com/spreadsheets/d/1w5rwWK1o49a35cNtocGL0gxDwhFSTZUQu90BiH9_zqM/edit?usp=sharing"",""RTK!K75"")"),0)</f>
        <v>0</v>
      </c>
      <c r="J388" s="351">
        <f ca="1">IFERROR(__xludf.DUMMYFUNCTION("IMPORTRANGE(""https://docs.google.com/spreadsheets/d/1w5rwWK1o49a35cNtocGL0gxDwhFSTZUQu90BiH9_zqM/edit?usp=sharing"",""RTK!M75"")"),0)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2">L414+L415</f>
        <v>51370</v>
      </c>
      <c r="M413" s="133">
        <f t="shared" ca="1" si="272"/>
        <v>183870</v>
      </c>
      <c r="N413" s="133">
        <f t="shared" ca="1" si="272"/>
        <v>162750</v>
      </c>
      <c r="O413" s="133">
        <f t="shared" ref="O413:O421" ca="1" si="273">IF(L413&gt;0,N413*100/L413,0)</f>
        <v>316.81915514891961</v>
      </c>
      <c r="P413" s="133">
        <f t="shared" ref="P413:P421" ca="1" si="274">IF(M413&gt;0,N413*100/M413,0)</f>
        <v>88.513623755914509</v>
      </c>
      <c r="Q413" s="133">
        <f t="shared" ref="Q413:S413" ca="1" si="275">Q414+Q415</f>
        <v>16200</v>
      </c>
      <c r="R413" s="133">
        <f t="shared" ca="1" si="275"/>
        <v>16200</v>
      </c>
      <c r="S413" s="133">
        <f t="shared" ca="1" si="275"/>
        <v>16200</v>
      </c>
      <c r="T413" s="133">
        <f t="shared" ref="T413:T421" ca="1" si="276">IF(Q413&gt;0,S413*100/Q413,0)</f>
        <v>100</v>
      </c>
      <c r="U413" s="133">
        <f t="shared" ref="U413:U421" ca="1" si="277">IF(R413&gt;0,S413*100/R413,0)</f>
        <v>100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51370</v>
      </c>
      <c r="M415" s="47">
        <f t="shared" ca="1" si="278"/>
        <v>183870</v>
      </c>
      <c r="N415" s="47">
        <f t="shared" ca="1" si="278"/>
        <v>162750</v>
      </c>
      <c r="O415" s="47">
        <f t="shared" ca="1" si="273"/>
        <v>316.81915514891961</v>
      </c>
      <c r="P415" s="47">
        <f t="shared" ca="1" si="274"/>
        <v>88.513623755914509</v>
      </c>
      <c r="Q415" s="47">
        <f t="shared" ca="1" si="279"/>
        <v>16200</v>
      </c>
      <c r="R415" s="47">
        <f t="shared" ca="1" si="279"/>
        <v>16200</v>
      </c>
      <c r="S415" s="47">
        <f t="shared" ca="1" si="279"/>
        <v>16200</v>
      </c>
      <c r="T415" s="47">
        <f t="shared" ca="1" si="276"/>
        <v>100</v>
      </c>
      <c r="U415" s="47">
        <f t="shared" ca="1" si="277"/>
        <v>100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0">L417+L418</f>
        <v>51370</v>
      </c>
      <c r="M416" s="47">
        <f t="shared" ca="1" si="280"/>
        <v>183870</v>
      </c>
      <c r="N416" s="47">
        <f t="shared" ca="1" si="280"/>
        <v>162750</v>
      </c>
      <c r="O416" s="47">
        <f t="shared" ca="1" si="273"/>
        <v>316.81915514891961</v>
      </c>
      <c r="P416" s="47">
        <f t="shared" ca="1" si="274"/>
        <v>88.513623755914509</v>
      </c>
      <c r="Q416" s="47">
        <f t="shared" ref="Q416:S416" ca="1" si="281">Q417+Q418</f>
        <v>16200</v>
      </c>
      <c r="R416" s="47">
        <f t="shared" ca="1" si="281"/>
        <v>16200</v>
      </c>
      <c r="S416" s="47">
        <f t="shared" ca="1" si="281"/>
        <v>16200</v>
      </c>
      <c r="T416" s="47">
        <f t="shared" ca="1" si="276"/>
        <v>100</v>
      </c>
      <c r="U416" s="47">
        <f t="shared" ca="1" si="277"/>
        <v>100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IFERROR(__xludf.DUMMYFUNCTION("IMPORTRANGE(""https://docs.google.com/spreadsheets/d/1-uDff_7J0KD5mKrp0Vvzr7lt3OU09vwQwhkpOPPYv2Y/edit?usp=sharing"",""งบพรบ!IT75"")"),183870)</f>
        <v>183870</v>
      </c>
      <c r="N418" s="47">
        <f ca="1">IFERROR(__xludf.DUMMYFUNCTION("IMPORTRANGE(""https://docs.google.com/spreadsheets/d/1-uDff_7J0KD5mKrp0Vvzr7lt3OU09vwQwhkpOPPYv2Y/edit?usp=sharing"",""งบพรบ!IV75"")"),162750)</f>
        <v>162750</v>
      </c>
      <c r="O418" s="47">
        <f t="shared" ca="1" si="273"/>
        <v>316.81915514891961</v>
      </c>
      <c r="P418" s="47">
        <f t="shared" ca="1" si="274"/>
        <v>88.513623755914509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IFERROR(__xludf.DUMMYFUNCTION("IMPORTRANGE(""https://docs.google.com/spreadsheets/d/1ItG2mGa2ceCfYo0BwxsXqNm01IGEUdYcSSLTEv9YCik/edit?usp=sharing"",""เบิกจ่ายกองทุน!CB75"")"),16200)</f>
        <v>16200</v>
      </c>
      <c r="T418" s="47">
        <f t="shared" ca="1" si="276"/>
        <v>100</v>
      </c>
      <c r="U418" s="47">
        <f t="shared" ca="1" si="277"/>
        <v>100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4">I440</f>
        <v>0</v>
      </c>
      <c r="J423" s="749">
        <f t="shared" si="284"/>
        <v>0</v>
      </c>
      <c r="K423" s="489">
        <f t="shared" ref="K423:K425" ca="1" si="285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IFERROR(__xludf.DUMMYFUNCTION("IMPORTRANGE(""https://docs.google.com/spreadsheets/d/1eHaY18a8A9IcSdp1K8H6x8fbOy06t2VsZHhMHf-1x7Y/edit?usp=sharing"",""แผน!HJ75"")"),0)</f>
        <v>0</v>
      </c>
      <c r="J424" s="751">
        <f t="shared" ref="J424:J425" si="286">J426+J428+J430</f>
        <v>0</v>
      </c>
      <c r="K424" s="133">
        <f t="shared" ca="1" si="285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IFERROR(__xludf.DUMMYFUNCTION("IMPORTRANGE(""https://docs.google.com/spreadsheets/d/1eHaY18a8A9IcSdp1K8H6x8fbOy06t2VsZHhMHf-1x7Y/edit?usp=sharing"",""แผน!HK75"")"),0)</f>
        <v>0</v>
      </c>
      <c r="J425" s="751">
        <f t="shared" si="286"/>
        <v>0</v>
      </c>
      <c r="K425" s="133">
        <f t="shared" ca="1" si="285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IFERROR(__xludf.DUMMYFUNCTION("IMPORTRANGE(""https://docs.google.com/spreadsheets/d/1eHaY18a8A9IcSdp1K8H6x8fbOy06t2VsZHhMHf-1x7Y/edit?usp=sharing"",""แผน!HJ75"")"),0)</f>
        <v>0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IFERROR(__xludf.DUMMYFUNCTION("IMPORTRANGE(""https://docs.google.com/spreadsheets/d/1eHaY18a8A9IcSdp1K8H6x8fbOy06t2VsZHhMHf-1x7Y/edit?usp=sharing"",""แผน!HK75"")"),0)</f>
        <v>0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IFERROR(__xludf.DUMMYFUNCTION("IMPORTRANGE(""https://docs.google.com/spreadsheets/d/1eHaY18a8A9IcSdp1K8H6x8fbOy06t2VsZHhMHf-1x7Y/edit?usp=sharing"",""แผน!HJ75"")"),0)</f>
        <v>0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IFERROR(__xludf.DUMMYFUNCTION("IMPORTRANGE(""https://docs.google.com/spreadsheets/d/1eHaY18a8A9IcSdp1K8H6x8fbOy06t2VsZHhMHf-1x7Y/edit?usp=sharing"",""แผน!HK75"")"),0)</f>
        <v>0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2813.45</v>
      </c>
      <c r="J456" s="754">
        <f t="shared" si="292"/>
        <v>0</v>
      </c>
      <c r="K456" s="489">
        <f t="shared" ref="K456:K458" ca="1" si="293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IFERROR(__xludf.DUMMYFUNCTION("IMPORTRANGE(""https://docs.google.com/spreadsheets/d/1eHaY18a8A9IcSdp1K8H6x8fbOy06t2VsZHhMHf-1x7Y/edit?usp=sharing"",""แผน!HL75"")"),2813.45)</f>
        <v>2813.45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IFERROR(__xludf.DUMMYFUNCTION("IMPORTRANGE(""https://docs.google.com/spreadsheets/d/1eHaY18a8A9IcSdp1K8H6x8fbOy06t2VsZHhMHf-1x7Y/edit?usp=sharing"",""แผน!HM75"")"),167)</f>
        <v>167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299">J480</f>
        <v>0</v>
      </c>
      <c r="J484" s="763">
        <f t="shared" ref="J484:J485" si="300">J486+J488+J490</f>
        <v>0</v>
      </c>
      <c r="K484" s="764">
        <f t="shared" ref="K484:K485" si="301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299"/>
        <v>0</v>
      </c>
      <c r="J485" s="763">
        <f t="shared" si="300"/>
        <v>0</v>
      </c>
      <c r="K485" s="764">
        <f t="shared" si="301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100</v>
      </c>
      <c r="J492" s="321">
        <f t="shared" si="302"/>
        <v>100</v>
      </c>
      <c r="K492" s="322">
        <f ca="1">IF(I492&gt;0,J492*100/I492,0)</f>
        <v>100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x14ac:dyDescent="0.3">
      <c r="A493" s="129"/>
      <c r="B493" s="160"/>
      <c r="C493" s="409" t="s">
        <v>18</v>
      </c>
      <c r="D493" s="770" t="s">
        <v>19</v>
      </c>
      <c r="E493" s="552"/>
      <c r="F493" s="552"/>
      <c r="G493" s="553"/>
      <c r="H493" s="240" t="s">
        <v>14</v>
      </c>
      <c r="I493" s="45"/>
      <c r="J493" s="45"/>
      <c r="K493" s="46"/>
      <c r="L493" s="617">
        <f t="shared" ref="L493:N493" ca="1" si="303">L494+L495</f>
        <v>47800</v>
      </c>
      <c r="M493" s="133">
        <f t="shared" ca="1" si="303"/>
        <v>47800</v>
      </c>
      <c r="N493" s="133">
        <f t="shared" ca="1" si="303"/>
        <v>47170.3</v>
      </c>
      <c r="O493" s="133">
        <f t="shared" ref="O493:O501" ca="1" si="304">IF(L493&gt;0,N493*100/L493,0)</f>
        <v>98.682635983263594</v>
      </c>
      <c r="P493" s="133">
        <f t="shared" ref="P493:P501" ca="1" si="305">IF(M493&gt;0,N493*100/M493,0)</f>
        <v>98.682635983263594</v>
      </c>
      <c r="Q493" s="133">
        <f t="shared" ref="Q493:S493" ca="1" si="306">Q494+Q495</f>
        <v>1169450</v>
      </c>
      <c r="R493" s="133">
        <f t="shared" ca="1" si="306"/>
        <v>1177150</v>
      </c>
      <c r="S493" s="133">
        <f t="shared" ca="1" si="306"/>
        <v>557903.59</v>
      </c>
      <c r="T493" s="133">
        <f t="shared" ref="T493:T501" ca="1" si="307">IF(Q493&gt;0,S493*100/Q493,0)</f>
        <v>47.706493650861518</v>
      </c>
      <c r="U493" s="133">
        <f t="shared" ref="U493:U501" ca="1" si="308">IF(R493&gt;0,S493*100/R493,0)</f>
        <v>47.394434863866117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49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47800</v>
      </c>
      <c r="M495" s="47">
        <f t="shared" ca="1" si="309"/>
        <v>47800</v>
      </c>
      <c r="N495" s="47">
        <f t="shared" ca="1" si="309"/>
        <v>47170.3</v>
      </c>
      <c r="O495" s="47">
        <f t="shared" ca="1" si="304"/>
        <v>98.682635983263594</v>
      </c>
      <c r="P495" s="47">
        <f t="shared" ca="1" si="305"/>
        <v>98.682635983263594</v>
      </c>
      <c r="Q495" s="47">
        <f t="shared" ca="1" si="310"/>
        <v>1169450</v>
      </c>
      <c r="R495" s="47">
        <f t="shared" ca="1" si="310"/>
        <v>1177150</v>
      </c>
      <c r="S495" s="47">
        <f t="shared" ca="1" si="310"/>
        <v>557903.59</v>
      </c>
      <c r="T495" s="47">
        <f t="shared" ca="1" si="307"/>
        <v>47.706493650861518</v>
      </c>
      <c r="U495" s="47">
        <f t="shared" ca="1" si="308"/>
        <v>47.394434863866117</v>
      </c>
    </row>
    <row r="496" spans="1:21" ht="18.75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47800</v>
      </c>
      <c r="M496" s="47">
        <f t="shared" ca="1" si="311"/>
        <v>47800</v>
      </c>
      <c r="N496" s="47">
        <f t="shared" ca="1" si="311"/>
        <v>47170.3</v>
      </c>
      <c r="O496" s="47">
        <f t="shared" ca="1" si="304"/>
        <v>98.682635983263594</v>
      </c>
      <c r="P496" s="47">
        <f t="shared" ca="1" si="305"/>
        <v>98.682635983263594</v>
      </c>
      <c r="Q496" s="47">
        <f t="shared" ref="Q496:S496" ca="1" si="312">Q497+Q498</f>
        <v>1169450</v>
      </c>
      <c r="R496" s="47">
        <f t="shared" ca="1" si="312"/>
        <v>1177150</v>
      </c>
      <c r="S496" s="47">
        <f t="shared" ca="1" si="312"/>
        <v>557903.59</v>
      </c>
      <c r="T496" s="47">
        <f t="shared" ca="1" si="307"/>
        <v>47.706493650861518</v>
      </c>
      <c r="U496" s="47">
        <f t="shared" ca="1" si="308"/>
        <v>47.394434863866117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49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IFERROR(__xludf.DUMMYFUNCTION("IMPORTRANGE(""https://docs.google.com/spreadsheets/d/1-uDff_7J0KD5mKrp0Vvzr7lt3OU09vwQwhkpOPPYv2Y/edit?usp=sharing"",""งบพรบ!HZ75"")"),47800)</f>
        <v>47800</v>
      </c>
      <c r="N498" s="47">
        <f ca="1">IFERROR(__xludf.DUMMYFUNCTION("IMPORTRANGE(""https://docs.google.com/spreadsheets/d/1-uDff_7J0KD5mKrp0Vvzr7lt3OU09vwQwhkpOPPYv2Y/edit?usp=sharing"",""งบพรบ!IB75"")"),47170.3)</f>
        <v>47170.3</v>
      </c>
      <c r="O498" s="47">
        <f t="shared" ca="1" si="304"/>
        <v>98.682635983263594</v>
      </c>
      <c r="P498" s="47">
        <f t="shared" ca="1" si="305"/>
        <v>98.682635983263594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IFERROR(__xludf.DUMMYFUNCTION("IMPORTRANGE(""https://docs.google.com/spreadsheets/d/1ItG2mGa2ceCfYo0BwxsXqNm01IGEUdYcSSLTEv9YCik/edit?usp=sharing"",""เบิกจ่ายกองทุน!AE75"")"),1177150)</f>
        <v>1177150</v>
      </c>
      <c r="S498" s="47">
        <f ca="1">IFERROR(__xludf.DUMMYFUNCTION("IMPORTRANGE(""https://docs.google.com/spreadsheets/d/1ItG2mGa2ceCfYo0BwxsXqNm01IGEUdYcSSLTEv9YCik/edit?usp=sharing"",""เบิกจ่ายกองทุน!AF75"")"),557903.59)</f>
        <v>557903.59</v>
      </c>
      <c r="T498" s="47">
        <f t="shared" ca="1" si="307"/>
        <v>47.706493650861518</v>
      </c>
      <c r="U498" s="47">
        <f t="shared" ca="1" si="308"/>
        <v>47.394434863866117</v>
      </c>
    </row>
    <row r="499" spans="1:21" ht="18.75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47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49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t="shared" ca="1" si="304"/>
        <v>0</v>
      </c>
      <c r="P501" s="47">
        <f t="shared" ca="1" si="305"/>
        <v>0</v>
      </c>
      <c r="Q501" s="47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x14ac:dyDescent="0.3">
      <c r="A502" s="139"/>
      <c r="B502" s="140"/>
      <c r="C502" s="409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IFERROR(__xludf.DUMMYFUNCTION("IMPORTRANGE(""https://docs.google.com/spreadsheets/d/1eHaY18a8A9IcSdp1K8H6x8fbOy06t2VsZHhMHf-1x7Y/edit?usp=sharing"",""แผน!GX75"")"),100)</f>
        <v>100</v>
      </c>
      <c r="J503" s="371">
        <f>J504</f>
        <v>100</v>
      </c>
      <c r="K503" s="133">
        <f t="shared" ref="K503:K509" ca="1" si="315">IF(I503&gt;0,J503*100/I503,0)</f>
        <v>100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IFERROR(__xludf.DUMMYFUNCTION("IMPORTRANGE(""https://docs.google.com/spreadsheets/d/1eHaY18a8A9IcSdp1K8H6x8fbOy06t2VsZHhMHf-1x7Y/edit?usp=sharing"",""แผน!GY75"")"),100)</f>
        <v>100</v>
      </c>
      <c r="J504" s="169">
        <v>100</v>
      </c>
      <c r="K504" s="47">
        <f t="shared" ca="1" si="315"/>
        <v>100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IFERROR(__xludf.DUMMYFUNCTION("IMPORTRANGE(""https://docs.google.com/spreadsheets/d/1eHaY18a8A9IcSdp1K8H6x8fbOy06t2VsZHhMHf-1x7Y/edit?usp=sharing"",""แผน!GZ75"")"),100)</f>
        <v>100</v>
      </c>
      <c r="J505" s="169">
        <v>100</v>
      </c>
      <c r="K505" s="47">
        <f t="shared" ca="1" si="315"/>
        <v>100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IFERROR(__xludf.DUMMYFUNCTION("IMPORTRANGE(""https://docs.google.com/spreadsheets/d/1eHaY18a8A9IcSdp1K8H6x8fbOy06t2VsZHhMHf-1x7Y/edit?usp=sharing"",""แผน!HA75"")"),100)</f>
        <v>100</v>
      </c>
      <c r="J506" s="169">
        <v>100</v>
      </c>
      <c r="K506" s="47">
        <f t="shared" ca="1" si="315"/>
        <v>100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IFERROR(__xludf.DUMMYFUNCTION("IMPORTRANGE(""https://docs.google.com/spreadsheets/d/1eHaY18a8A9IcSdp1K8H6x8fbOy06t2VsZHhMHf-1x7Y/edit?usp=sharing"",""แผน!HB75"")"),20)</f>
        <v>20</v>
      </c>
      <c r="J507" s="169">
        <v>20</v>
      </c>
      <c r="K507" s="47">
        <f t="shared" ca="1" si="315"/>
        <v>100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IFERROR(__xludf.DUMMYFUNCTION("IMPORTRANGE(""https://docs.google.com/spreadsheets/d/1eHaY18a8A9IcSdp1K8H6x8fbOy06t2VsZHhMHf-1x7Y/edit?usp=sharing"",""แผน!HC75"")"),0)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x14ac:dyDescent="0.3">
      <c r="A511" s="777" t="s">
        <v>210</v>
      </c>
      <c r="B511" s="778"/>
      <c r="C511" s="778"/>
      <c r="D511" s="779"/>
      <c r="E511" s="778"/>
      <c r="F511" s="778"/>
      <c r="G511" s="778"/>
      <c r="H511" s="780"/>
      <c r="I511" s="781"/>
      <c r="J511" s="781"/>
      <c r="K511" s="782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x14ac:dyDescent="0.3">
      <c r="A512" s="784"/>
      <c r="B512" s="785" t="s">
        <v>211</v>
      </c>
      <c r="C512" s="786"/>
      <c r="D512" s="787"/>
      <c r="E512" s="787"/>
      <c r="F512" s="787"/>
      <c r="G512" s="788"/>
      <c r="H512" s="789" t="s">
        <v>61</v>
      </c>
      <c r="I512" s="790">
        <f t="shared" ref="I512:J512" si="316">I524</f>
        <v>1</v>
      </c>
      <c r="J512" s="790">
        <f t="shared" si="316"/>
        <v>0</v>
      </c>
      <c r="K512" s="791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x14ac:dyDescent="0.3">
      <c r="A513" s="436"/>
      <c r="B513" s="444"/>
      <c r="C513" s="409" t="s">
        <v>18</v>
      </c>
      <c r="D513" s="438" t="s">
        <v>19</v>
      </c>
      <c r="E513" s="444"/>
      <c r="F513" s="444"/>
      <c r="G513" s="445"/>
      <c r="H513" s="690" t="s">
        <v>14</v>
      </c>
      <c r="I513" s="440"/>
      <c r="J513" s="440"/>
      <c r="K513" s="353"/>
      <c r="L513" s="617">
        <f t="shared" ref="L513:N513" ca="1" si="317">L514+L515</f>
        <v>33423500</v>
      </c>
      <c r="M513" s="133">
        <f t="shared" ca="1" si="317"/>
        <v>33423500</v>
      </c>
      <c r="N513" s="133">
        <f t="shared" ca="1" si="317"/>
        <v>33423500</v>
      </c>
      <c r="O513" s="133">
        <f t="shared" ref="O513:O521" ca="1" si="318">IF(L513&gt;0,N513*100/L513,0)</f>
        <v>100</v>
      </c>
      <c r="P513" s="133">
        <f t="shared" ref="P513:P521" ca="1" si="319">IF(M513&gt;0,N513*100/M513,0)</f>
        <v>100</v>
      </c>
      <c r="Q513" s="133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648"/>
      <c r="B514" s="649"/>
      <c r="C514" s="649"/>
      <c r="D514" s="649"/>
      <c r="E514" s="158" t="s">
        <v>20</v>
      </c>
      <c r="F514" s="649"/>
      <c r="G514" s="652"/>
      <c r="H514" s="159" t="s">
        <v>14</v>
      </c>
      <c r="I514" s="661"/>
      <c r="J514" s="661"/>
      <c r="K514" s="662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49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436"/>
      <c r="B515" s="444"/>
      <c r="C515" s="444"/>
      <c r="D515" s="444"/>
      <c r="E515" s="443" t="s">
        <v>21</v>
      </c>
      <c r="F515" s="444"/>
      <c r="G515" s="445"/>
      <c r="H515" s="350" t="s">
        <v>14</v>
      </c>
      <c r="I515" s="440"/>
      <c r="J515" s="440"/>
      <c r="K515" s="353"/>
      <c r="L515" s="588">
        <f t="shared" ca="1" si="323"/>
        <v>33423500</v>
      </c>
      <c r="M515" s="47">
        <f t="shared" ca="1" si="323"/>
        <v>33423500</v>
      </c>
      <c r="N515" s="47">
        <f t="shared" ca="1" si="323"/>
        <v>33423500</v>
      </c>
      <c r="O515" s="47">
        <f t="shared" ca="1" si="318"/>
        <v>100</v>
      </c>
      <c r="P515" s="47">
        <f t="shared" ca="1" si="319"/>
        <v>100</v>
      </c>
      <c r="Q515" s="47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x14ac:dyDescent="0.25">
      <c r="A516" s="436"/>
      <c r="B516" s="444"/>
      <c r="C516" s="444"/>
      <c r="D516" s="693" t="s">
        <v>22</v>
      </c>
      <c r="E516" s="444"/>
      <c r="F516" s="444"/>
      <c r="G516" s="445"/>
      <c r="H516" s="446" t="s">
        <v>14</v>
      </c>
      <c r="I516" s="448"/>
      <c r="J516" s="448"/>
      <c r="K516" s="449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47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648"/>
      <c r="B517" s="649"/>
      <c r="C517" s="649"/>
      <c r="D517" s="649"/>
      <c r="E517" s="158" t="s">
        <v>36</v>
      </c>
      <c r="F517" s="649"/>
      <c r="G517" s="652"/>
      <c r="H517" s="161" t="s">
        <v>14</v>
      </c>
      <c r="I517" s="653"/>
      <c r="J517" s="653"/>
      <c r="K517" s="654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49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436"/>
      <c r="B518" s="444"/>
      <c r="C518" s="444"/>
      <c r="D518" s="444"/>
      <c r="E518" s="443" t="s">
        <v>37</v>
      </c>
      <c r="F518" s="444"/>
      <c r="G518" s="445"/>
      <c r="H518" s="446" t="s">
        <v>14</v>
      </c>
      <c r="I518" s="448"/>
      <c r="J518" s="448"/>
      <c r="K518" s="449"/>
      <c r="L518" s="588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t="shared" ca="1" si="318"/>
        <v>0</v>
      </c>
      <c r="P518" s="47">
        <f t="shared" ca="1" si="319"/>
        <v>0</v>
      </c>
      <c r="Q518" s="47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x14ac:dyDescent="0.25">
      <c r="A519" s="436"/>
      <c r="B519" s="444"/>
      <c r="C519" s="444"/>
      <c r="D519" s="693" t="s">
        <v>23</v>
      </c>
      <c r="E519" s="444"/>
      <c r="F519" s="444"/>
      <c r="G519" s="445"/>
      <c r="H519" s="451" t="s">
        <v>14</v>
      </c>
      <c r="I519" s="448"/>
      <c r="J519" s="448"/>
      <c r="K519" s="449"/>
      <c r="L519" s="588">
        <f t="shared" ref="L519:N519" ca="1" si="327">L520+L521</f>
        <v>33423500</v>
      </c>
      <c r="M519" s="47">
        <f t="shared" ca="1" si="327"/>
        <v>33423500</v>
      </c>
      <c r="N519" s="47">
        <f t="shared" ca="1" si="327"/>
        <v>33423500</v>
      </c>
      <c r="O519" s="47">
        <f t="shared" ca="1" si="318"/>
        <v>100</v>
      </c>
      <c r="P519" s="47">
        <f t="shared" ca="1" si="319"/>
        <v>100</v>
      </c>
      <c r="Q519" s="47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648"/>
      <c r="B520" s="649"/>
      <c r="C520" s="649"/>
      <c r="D520" s="649"/>
      <c r="E520" s="158" t="s">
        <v>20</v>
      </c>
      <c r="F520" s="649"/>
      <c r="G520" s="652"/>
      <c r="H520" s="161" t="s">
        <v>14</v>
      </c>
      <c r="I520" s="653"/>
      <c r="J520" s="653"/>
      <c r="K520" s="654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49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436"/>
      <c r="B521" s="444"/>
      <c r="C521" s="444"/>
      <c r="D521" s="444"/>
      <c r="E521" s="443" t="s">
        <v>21</v>
      </c>
      <c r="F521" s="444"/>
      <c r="G521" s="445"/>
      <c r="H521" s="451" t="s">
        <v>14</v>
      </c>
      <c r="I521" s="448"/>
      <c r="J521" s="448"/>
      <c r="K521" s="449"/>
      <c r="L521" s="588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IFERROR(__xludf.DUMMYFUNCTION("IMPORTRANGE(""https://docs.google.com/spreadsheets/d/1-uDff_7J0KD5mKrp0Vvzr7lt3OU09vwQwhkpOPPYv2Y/edit?usp=sharing"",""งบพรบ!FS75"")"),33423500)</f>
        <v>33423500</v>
      </c>
      <c r="N521" s="47">
        <f ca="1">IFERROR(__xludf.DUMMYFUNCTION("IMPORTRANGE(""https://docs.google.com/spreadsheets/d/1-uDff_7J0KD5mKrp0Vvzr7lt3OU09vwQwhkpOPPYv2Y/edit?usp=sharing"",""งบพรบ!FU75"")"),33423500)</f>
        <v>33423500</v>
      </c>
      <c r="O521" s="47">
        <f t="shared" ca="1" si="318"/>
        <v>100</v>
      </c>
      <c r="P521" s="47">
        <f t="shared" ca="1" si="319"/>
        <v>100</v>
      </c>
      <c r="Q521" s="47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x14ac:dyDescent="0.3">
      <c r="A522" s="452"/>
      <c r="B522" s="453"/>
      <c r="C522" s="409" t="s">
        <v>18</v>
      </c>
      <c r="D522" s="694" t="s">
        <v>38</v>
      </c>
      <c r="E522" s="455"/>
      <c r="F522" s="455"/>
      <c r="G522" s="456"/>
      <c r="H522" s="459"/>
      <c r="I522" s="448"/>
      <c r="J522" s="440"/>
      <c r="K522" s="353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x14ac:dyDescent="0.25">
      <c r="A523" s="741"/>
      <c r="B523" s="444"/>
      <c r="C523" s="347"/>
      <c r="D523" s="793" t="s">
        <v>212</v>
      </c>
      <c r="E523" s="453"/>
      <c r="F523" s="444"/>
      <c r="G523" s="445"/>
      <c r="H523" s="794" t="s">
        <v>11</v>
      </c>
      <c r="I523" s="351">
        <v>0</v>
      </c>
      <c r="J523" s="795">
        <v>0</v>
      </c>
      <c r="K523" s="352">
        <f t="shared" ref="K523:K524" si="329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741"/>
      <c r="B524" s="444"/>
      <c r="C524" s="347"/>
      <c r="D524" s="793" t="s">
        <v>213</v>
      </c>
      <c r="E524" s="453"/>
      <c r="F524" s="444"/>
      <c r="G524" s="445"/>
      <c r="H524" s="794" t="s">
        <v>61</v>
      </c>
      <c r="I524" s="351">
        <v>1</v>
      </c>
      <c r="J524" s="795">
        <v>0</v>
      </c>
      <c r="K524" s="352">
        <f t="shared" si="329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803"/>
      <c r="B532" s="804"/>
      <c r="C532" s="804"/>
      <c r="D532" s="805"/>
      <c r="E532" s="805"/>
      <c r="F532" s="805"/>
      <c r="G532" s="806"/>
      <c r="H532" s="807"/>
      <c r="I532" s="808"/>
      <c r="J532" s="808"/>
      <c r="K532" s="809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810"/>
      <c r="B533" s="811" t="s">
        <v>214</v>
      </c>
      <c r="C533" s="812"/>
      <c r="D533" s="813"/>
      <c r="E533" s="813"/>
      <c r="F533" s="813"/>
      <c r="G533" s="814"/>
      <c r="H533" s="815" t="s">
        <v>61</v>
      </c>
      <c r="I533" s="816">
        <f t="shared" ref="I533:J533" si="330">I545</f>
        <v>0</v>
      </c>
      <c r="J533" s="816">
        <f t="shared" si="330"/>
        <v>0</v>
      </c>
      <c r="K533" s="817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40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133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49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47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47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49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t="shared" ca="1" si="332"/>
        <v>0</v>
      </c>
      <c r="P539" s="47">
        <f t="shared" ca="1" si="333"/>
        <v>0</v>
      </c>
      <c r="Q539" s="47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47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49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IFERROR(__xludf.DUMMYFUNCTION("IMPORTRANGE(""https://docs.google.com/spreadsheets/d/1-uDff_7J0KD5mKrp0Vvzr7lt3OU09vwQwhkpOPPYv2Y/edit?usp=sharing"",""งบพรบ!GC75"")"),0)</f>
        <v>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t="shared" ca="1" si="332"/>
        <v>0</v>
      </c>
      <c r="P542" s="47">
        <f t="shared" ca="1" si="333"/>
        <v>0</v>
      </c>
      <c r="Q542" s="47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63800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133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49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63800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47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63800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47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49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IFERROR(__xludf.DUMMYFUNCTION("IMPORTRANGE(""https://docs.google.com/spreadsheets/d/1-uDff_7J0KD5mKrp0Vvzr7lt3OU09vwQwhkpOPPYv2Y/edit?usp=sharing"",""งบพรบ!GL75"")"),63800)</f>
        <v>63800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t="shared" ca="1" si="345"/>
        <v>0</v>
      </c>
      <c r="P560" s="47">
        <f t="shared" ca="1" si="346"/>
        <v>0</v>
      </c>
      <c r="Q560" s="47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47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49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t="shared" ca="1" si="345"/>
        <v>0</v>
      </c>
      <c r="P563" s="47">
        <f t="shared" ca="1" si="346"/>
        <v>0</v>
      </c>
      <c r="Q563" s="47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si="356">I587</f>
        <v>5</v>
      </c>
      <c r="J575" s="408">
        <f t="shared" si="356"/>
        <v>5</v>
      </c>
      <c r="K575" s="400">
        <f>IF(I575&gt;0,J575*100/I575,0)</f>
        <v>100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200"/>
      <c r="C576" s="40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289514</v>
      </c>
      <c r="M576" s="133">
        <f t="shared" ca="1" si="357"/>
        <v>289514</v>
      </c>
      <c r="N576" s="133">
        <f t="shared" ca="1" si="357"/>
        <v>285914</v>
      </c>
      <c r="O576" s="133">
        <f t="shared" ref="O576:O584" ca="1" si="358">IF(L576&gt;0,N576*100/L576,0)</f>
        <v>98.756536816872412</v>
      </c>
      <c r="P576" s="133">
        <f t="shared" ref="P576:P584" ca="1" si="359">IF(M576&gt;0,N576*100/M576,0)</f>
        <v>98.756536816872412</v>
      </c>
      <c r="Q576" s="133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49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289514</v>
      </c>
      <c r="M578" s="47">
        <f t="shared" ca="1" si="363"/>
        <v>289514</v>
      </c>
      <c r="N578" s="47">
        <f t="shared" ca="1" si="363"/>
        <v>285914</v>
      </c>
      <c r="O578" s="47">
        <f t="shared" ca="1" si="358"/>
        <v>98.756536816872412</v>
      </c>
      <c r="P578" s="47">
        <f t="shared" ca="1" si="359"/>
        <v>98.756536816872412</v>
      </c>
      <c r="Q578" s="47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289514</v>
      </c>
      <c r="M579" s="47">
        <f t="shared" ca="1" si="365"/>
        <v>289514</v>
      </c>
      <c r="N579" s="47">
        <f t="shared" ca="1" si="365"/>
        <v>285914</v>
      </c>
      <c r="O579" s="47">
        <f t="shared" ca="1" si="358"/>
        <v>98.756536816872412</v>
      </c>
      <c r="P579" s="47">
        <f t="shared" ca="1" si="359"/>
        <v>98.756536816872412</v>
      </c>
      <c r="Q579" s="47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49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IFERROR(__xludf.DUMMYFUNCTION("IMPORTRANGE(""https://docs.google.com/spreadsheets/d/1-uDff_7J0KD5mKrp0Vvzr7lt3OU09vwQwhkpOPPYv2Y/edit?usp=sharing"",""งบพรบ!GV75"")"),289514)</f>
        <v>289514</v>
      </c>
      <c r="N581" s="47">
        <f ca="1">IFERROR(__xludf.DUMMYFUNCTION("IMPORTRANGE(""https://docs.google.com/spreadsheets/d/1-uDff_7J0KD5mKrp0Vvzr7lt3OU09vwQwhkpOPPYv2Y/edit?usp=sharing"",""งบพรบ!GX75"")"),285914)</f>
        <v>285914</v>
      </c>
      <c r="O581" s="47">
        <f t="shared" ca="1" si="358"/>
        <v>98.756536816872412</v>
      </c>
      <c r="P581" s="47">
        <f t="shared" ca="1" si="359"/>
        <v>98.756536816872412</v>
      </c>
      <c r="Q581" s="47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47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49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t="shared" ca="1" si="358"/>
        <v>0</v>
      </c>
      <c r="P584" s="47">
        <f t="shared" ca="1" si="359"/>
        <v>0</v>
      </c>
      <c r="Q584" s="47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412">
        <v>2</v>
      </c>
      <c r="J586" s="178">
        <v>0</v>
      </c>
      <c r="K586" s="179">
        <f t="shared" ref="K586:K587" si="369">IF(I586&gt;0,J586*100/I586,0)</f>
        <v>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200"/>
      <c r="C587" s="160"/>
      <c r="D587" s="271" t="s">
        <v>219</v>
      </c>
      <c r="E587" s="160"/>
      <c r="F587" s="200"/>
      <c r="G587" s="43"/>
      <c r="H587" s="44" t="s">
        <v>61</v>
      </c>
      <c r="I587" s="372">
        <v>5</v>
      </c>
      <c r="J587" s="169">
        <v>5</v>
      </c>
      <c r="K587" s="47">
        <f t="shared" si="369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70">L600+L601</f>
        <v>0</v>
      </c>
      <c r="M599" s="133">
        <f t="shared" ca="1" si="370"/>
        <v>0</v>
      </c>
      <c r="N599" s="133">
        <f t="shared" ca="1" si="370"/>
        <v>0</v>
      </c>
      <c r="O599" s="133">
        <f t="shared" ref="O599:O607" ca="1" si="371">IF(L599&gt;0,N599*100/L599,0)</f>
        <v>0</v>
      </c>
      <c r="P599" s="133">
        <f t="shared" ref="P599:P607" ca="1" si="372">IF(M599&gt;0,N599*100/M599,0)</f>
        <v>0</v>
      </c>
      <c r="Q599" s="133">
        <f t="shared" ref="Q599:S599" ca="1" si="373">Q600+Q601</f>
        <v>0</v>
      </c>
      <c r="R599" s="133">
        <f t="shared" ca="1" si="373"/>
        <v>0</v>
      </c>
      <c r="S599" s="133">
        <f t="shared" ca="1" si="373"/>
        <v>0</v>
      </c>
      <c r="T599" s="133">
        <f t="shared" ref="T599:T607" ca="1" si="374">IF(Q599&gt;0,S599*100/Q599,0)</f>
        <v>0</v>
      </c>
      <c r="U599" s="133">
        <f t="shared" ref="U599:U607" ca="1" si="375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6">L603+L606</f>
        <v>0</v>
      </c>
      <c r="M600" s="49">
        <f t="shared" si="376"/>
        <v>0</v>
      </c>
      <c r="N600" s="49">
        <f t="shared" si="376"/>
        <v>0</v>
      </c>
      <c r="O600" s="49">
        <f t="shared" si="371"/>
        <v>0</v>
      </c>
      <c r="P600" s="49">
        <f t="shared" si="372"/>
        <v>0</v>
      </c>
      <c r="Q600" s="49">
        <f t="shared" ref="Q600:S601" si="377">Q603+Q606</f>
        <v>0</v>
      </c>
      <c r="R600" s="49">
        <f t="shared" si="377"/>
        <v>0</v>
      </c>
      <c r="S600" s="49">
        <f t="shared" si="377"/>
        <v>0</v>
      </c>
      <c r="T600" s="49">
        <f t="shared" si="374"/>
        <v>0</v>
      </c>
      <c r="U600" s="49">
        <f t="shared" si="375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6"/>
        <v>0</v>
      </c>
      <c r="M601" s="47">
        <f t="shared" ca="1" si="376"/>
        <v>0</v>
      </c>
      <c r="N601" s="47">
        <f t="shared" ca="1" si="376"/>
        <v>0</v>
      </c>
      <c r="O601" s="47">
        <f t="shared" ca="1" si="371"/>
        <v>0</v>
      </c>
      <c r="P601" s="47">
        <f t="shared" ca="1" si="372"/>
        <v>0</v>
      </c>
      <c r="Q601" s="47">
        <f t="shared" ca="1" si="377"/>
        <v>0</v>
      </c>
      <c r="R601" s="47">
        <f t="shared" ca="1" si="377"/>
        <v>0</v>
      </c>
      <c r="S601" s="47">
        <f t="shared" ca="1" si="377"/>
        <v>0</v>
      </c>
      <c r="T601" s="47">
        <f t="shared" ca="1" si="374"/>
        <v>0</v>
      </c>
      <c r="U601" s="47">
        <f t="shared" ca="1" si="375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8">L603+L604</f>
        <v>0</v>
      </c>
      <c r="M602" s="47">
        <f t="shared" ca="1" si="378"/>
        <v>0</v>
      </c>
      <c r="N602" s="47">
        <f t="shared" ca="1" si="378"/>
        <v>0</v>
      </c>
      <c r="O602" s="47">
        <f t="shared" ca="1" si="371"/>
        <v>0</v>
      </c>
      <c r="P602" s="47">
        <f t="shared" ca="1" si="372"/>
        <v>0</v>
      </c>
      <c r="Q602" s="47">
        <f t="shared" ref="Q602:S602" ca="1" si="379">Q603+Q604</f>
        <v>0</v>
      </c>
      <c r="R602" s="47">
        <f t="shared" ca="1" si="379"/>
        <v>0</v>
      </c>
      <c r="S602" s="47">
        <f t="shared" ca="1" si="379"/>
        <v>0</v>
      </c>
      <c r="T602" s="47">
        <f t="shared" ca="1" si="374"/>
        <v>0</v>
      </c>
      <c r="U602" s="47">
        <f t="shared" ca="1" si="375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1"/>
        <v>0</v>
      </c>
      <c r="P603" s="49">
        <f t="shared" si="372"/>
        <v>0</v>
      </c>
      <c r="Q603" s="49">
        <v>0</v>
      </c>
      <c r="R603" s="49">
        <v>0</v>
      </c>
      <c r="S603" s="49">
        <v>0</v>
      </c>
      <c r="T603" s="49">
        <f t="shared" si="374"/>
        <v>0</v>
      </c>
      <c r="U603" s="49">
        <f t="shared" si="375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t="shared" ca="1" si="371"/>
        <v>0</v>
      </c>
      <c r="P604" s="47">
        <f t="shared" ca="1" si="372"/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t="shared" ca="1" si="374"/>
        <v>0</v>
      </c>
      <c r="U604" s="47">
        <f t="shared" ca="1" si="375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80">L606+L607</f>
        <v>0</v>
      </c>
      <c r="M605" s="47">
        <f t="shared" ca="1" si="380"/>
        <v>0</v>
      </c>
      <c r="N605" s="47">
        <f t="shared" ca="1" si="380"/>
        <v>0</v>
      </c>
      <c r="O605" s="47">
        <f t="shared" ca="1" si="371"/>
        <v>0</v>
      </c>
      <c r="P605" s="47">
        <f t="shared" ca="1" si="372"/>
        <v>0</v>
      </c>
      <c r="Q605" s="47">
        <f t="shared" ref="Q605:S605" ca="1" si="381">Q606+Q607</f>
        <v>0</v>
      </c>
      <c r="R605" s="47">
        <f t="shared" ca="1" si="381"/>
        <v>0</v>
      </c>
      <c r="S605" s="47">
        <f t="shared" ca="1" si="381"/>
        <v>0</v>
      </c>
      <c r="T605" s="47">
        <f t="shared" ca="1" si="374"/>
        <v>0</v>
      </c>
      <c r="U605" s="47">
        <f t="shared" ca="1" si="375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1"/>
        <v>0</v>
      </c>
      <c r="P606" s="49">
        <f t="shared" si="372"/>
        <v>0</v>
      </c>
      <c r="Q606" s="49">
        <v>0</v>
      </c>
      <c r="R606" s="49">
        <v>0</v>
      </c>
      <c r="S606" s="49">
        <v>0</v>
      </c>
      <c r="T606" s="49">
        <f t="shared" si="374"/>
        <v>0</v>
      </c>
      <c r="U606" s="49">
        <f t="shared" si="375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t="shared" ca="1" si="371"/>
        <v>0</v>
      </c>
      <c r="P607" s="47">
        <f t="shared" ca="1" si="372"/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t="shared" ca="1" si="374"/>
        <v>0</v>
      </c>
      <c r="U607" s="47">
        <f t="shared" ca="1" si="375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2">I626</f>
        <v>0</v>
      </c>
      <c r="J615" s="488">
        <f t="shared" si="382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3">L617+L618</f>
        <v>0</v>
      </c>
      <c r="M616" s="133">
        <f t="shared" si="383"/>
        <v>0</v>
      </c>
      <c r="N616" s="133">
        <f t="shared" si="383"/>
        <v>0</v>
      </c>
      <c r="O616" s="133">
        <f t="shared" ref="O616:O624" si="384">IF(L616&gt;0,N616*100/L616,0)</f>
        <v>0</v>
      </c>
      <c r="P616" s="133">
        <f t="shared" ref="P616:P624" si="385">IF(M616&gt;0,N616*100/M616,0)</f>
        <v>0</v>
      </c>
      <c r="Q616" s="133">
        <f t="shared" ref="Q616:S616" ca="1" si="386">Q617+Q618</f>
        <v>1800</v>
      </c>
      <c r="R616" s="133">
        <f t="shared" ca="1" si="386"/>
        <v>1800</v>
      </c>
      <c r="S616" s="133">
        <f t="shared" ca="1" si="386"/>
        <v>945</v>
      </c>
      <c r="T616" s="133">
        <f t="shared" ref="T616:T624" ca="1" si="387">IF(Q616&gt;0,S616*100/Q616,0)</f>
        <v>52.5</v>
      </c>
      <c r="U616" s="133">
        <f t="shared" ref="U616:U624" ca="1" si="388">IF(R616&gt;0,S616*100/R616,0)</f>
        <v>52.5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9">L620+L623</f>
        <v>0</v>
      </c>
      <c r="M617" s="49">
        <f t="shared" si="389"/>
        <v>0</v>
      </c>
      <c r="N617" s="49">
        <f t="shared" si="389"/>
        <v>0</v>
      </c>
      <c r="O617" s="49">
        <f t="shared" si="384"/>
        <v>0</v>
      </c>
      <c r="P617" s="49">
        <f t="shared" si="385"/>
        <v>0</v>
      </c>
      <c r="Q617" s="49">
        <f t="shared" ref="Q617:S618" si="390">Q620+Q623</f>
        <v>0</v>
      </c>
      <c r="R617" s="49">
        <f t="shared" si="390"/>
        <v>0</v>
      </c>
      <c r="S617" s="49">
        <f t="shared" si="390"/>
        <v>0</v>
      </c>
      <c r="T617" s="49">
        <f t="shared" si="387"/>
        <v>0</v>
      </c>
      <c r="U617" s="49">
        <f t="shared" si="388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9"/>
        <v>0</v>
      </c>
      <c r="M618" s="47">
        <f t="shared" si="389"/>
        <v>0</v>
      </c>
      <c r="N618" s="47">
        <f t="shared" si="389"/>
        <v>0</v>
      </c>
      <c r="O618" s="47">
        <f t="shared" si="384"/>
        <v>0</v>
      </c>
      <c r="P618" s="47">
        <f t="shared" si="385"/>
        <v>0</v>
      </c>
      <c r="Q618" s="47">
        <f t="shared" ca="1" si="390"/>
        <v>1800</v>
      </c>
      <c r="R618" s="47">
        <f t="shared" ca="1" si="390"/>
        <v>1800</v>
      </c>
      <c r="S618" s="47">
        <f t="shared" ca="1" si="390"/>
        <v>945</v>
      </c>
      <c r="T618" s="47">
        <f t="shared" ca="1" si="387"/>
        <v>52.5</v>
      </c>
      <c r="U618" s="47">
        <f t="shared" ca="1" si="388"/>
        <v>52.5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1">L620+L621</f>
        <v>0</v>
      </c>
      <c r="M619" s="47">
        <f t="shared" si="391"/>
        <v>0</v>
      </c>
      <c r="N619" s="47">
        <f t="shared" si="391"/>
        <v>0</v>
      </c>
      <c r="O619" s="47">
        <f t="shared" si="384"/>
        <v>0</v>
      </c>
      <c r="P619" s="47">
        <f t="shared" si="385"/>
        <v>0</v>
      </c>
      <c r="Q619" s="47">
        <f t="shared" ref="Q619:S619" ca="1" si="392">Q620+Q621</f>
        <v>1800</v>
      </c>
      <c r="R619" s="47">
        <f t="shared" ca="1" si="392"/>
        <v>1800</v>
      </c>
      <c r="S619" s="47">
        <f t="shared" ca="1" si="392"/>
        <v>945</v>
      </c>
      <c r="T619" s="47">
        <f t="shared" ca="1" si="387"/>
        <v>52.5</v>
      </c>
      <c r="U619" s="47">
        <f t="shared" ca="1" si="388"/>
        <v>52.5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4"/>
        <v>0</v>
      </c>
      <c r="P620" s="49">
        <f t="shared" si="385"/>
        <v>0</v>
      </c>
      <c r="Q620" s="49">
        <v>0</v>
      </c>
      <c r="R620" s="49">
        <v>0</v>
      </c>
      <c r="S620" s="49">
        <v>0</v>
      </c>
      <c r="T620" s="49">
        <f t="shared" si="387"/>
        <v>0</v>
      </c>
      <c r="U620" s="49">
        <f t="shared" si="388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4"/>
        <v>0</v>
      </c>
      <c r="P621" s="47">
        <f t="shared" si="385"/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t="shared" ca="1" si="387"/>
        <v>52.5</v>
      </c>
      <c r="U621" s="47">
        <f t="shared" ca="1" si="388"/>
        <v>52.5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3">L623+L624</f>
        <v>0</v>
      </c>
      <c r="M622" s="47">
        <f t="shared" si="393"/>
        <v>0</v>
      </c>
      <c r="N622" s="47">
        <f t="shared" si="393"/>
        <v>0</v>
      </c>
      <c r="O622" s="47">
        <f t="shared" si="384"/>
        <v>0</v>
      </c>
      <c r="P622" s="47">
        <f t="shared" si="385"/>
        <v>0</v>
      </c>
      <c r="Q622" s="47">
        <f t="shared" ref="Q622:S622" si="394">Q623+Q624</f>
        <v>0</v>
      </c>
      <c r="R622" s="47">
        <f t="shared" si="394"/>
        <v>0</v>
      </c>
      <c r="S622" s="47">
        <f t="shared" si="394"/>
        <v>0</v>
      </c>
      <c r="T622" s="47">
        <f t="shared" si="387"/>
        <v>0</v>
      </c>
      <c r="U622" s="47">
        <f t="shared" si="388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4"/>
        <v>0</v>
      </c>
      <c r="P623" s="49">
        <f t="shared" si="385"/>
        <v>0</v>
      </c>
      <c r="Q623" s="49">
        <v>0</v>
      </c>
      <c r="R623" s="49">
        <v>0</v>
      </c>
      <c r="S623" s="49">
        <v>0</v>
      </c>
      <c r="T623" s="49">
        <f t="shared" si="387"/>
        <v>0</v>
      </c>
      <c r="U623" s="49">
        <f t="shared" si="388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4"/>
        <v>0</v>
      </c>
      <c r="P624" s="47">
        <f t="shared" si="385"/>
        <v>0</v>
      </c>
      <c r="Q624" s="47">
        <v>0</v>
      </c>
      <c r="R624" s="47">
        <v>0</v>
      </c>
      <c r="S624" s="47">
        <v>0</v>
      </c>
      <c r="T624" s="47">
        <f t="shared" si="387"/>
        <v>0</v>
      </c>
      <c r="U624" s="47">
        <f t="shared" si="388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IFERROR(__xludf.DUMMYFUNCTION("IMPORTRANGE(""https://docs.google.com/spreadsheets/d/1eHaY18a8A9IcSdp1K8H6x8fbOy06t2VsZHhMHf-1x7Y/edit?usp=sharing"",""แผน!ID75"")"),0)</f>
        <v>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IFERROR(__xludf.DUMMYFUNCTION("IMPORTRANGE(""https://docs.google.com/spreadsheets/d/1eHaY18a8A9IcSdp1K8H6x8fbOy06t2VsZHhMHf-1x7Y/edit?usp=sharing"",""แผน!IC75"")"),1)</f>
        <v>1</v>
      </c>
      <c r="J627" s="169">
        <v>0</v>
      </c>
      <c r="K627" s="47">
        <f t="shared" ref="K627:K628" ca="1" si="395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IFERROR(__xludf.DUMMYFUNCTION("IMPORTRANGE(""https://docs.google.com/spreadsheets/d/1eHaY18a8A9IcSdp1K8H6x8fbOy06t2VsZHhMHf-1x7Y/edit?usp=sharing"",""แผน!IC75"")"),1)</f>
        <v>1</v>
      </c>
      <c r="J628" s="169">
        <v>0</v>
      </c>
      <c r="K628" s="47">
        <f t="shared" ca="1" si="395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6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6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6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IFERROR(__xludf.DUMMYFUNCTION("IMPORTRANGE(""https://docs.google.com/spreadsheets/d/1eHaY18a8A9IcSdp1K8H6x8fbOy06t2VsZHhMHf-1x7Y/edit?usp=sharing"",""แผน!IE75"")"),0)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7">L643+L644</f>
        <v>0</v>
      </c>
      <c r="M642" s="133">
        <f t="shared" si="397"/>
        <v>0</v>
      </c>
      <c r="N642" s="133">
        <f t="shared" si="397"/>
        <v>0</v>
      </c>
      <c r="O642" s="133">
        <f t="shared" ref="O642:O650" si="398">IF(L642&gt;0,N642*100/L642,0)</f>
        <v>0</v>
      </c>
      <c r="P642" s="133">
        <f t="shared" ref="P642:P650" si="399">IF(M642&gt;0,N642*100/M642,0)</f>
        <v>0</v>
      </c>
      <c r="Q642" s="133">
        <f t="shared" ref="Q642:S642" ca="1" si="400">Q643+Q644</f>
        <v>0</v>
      </c>
      <c r="R642" s="133">
        <f t="shared" ca="1" si="400"/>
        <v>0</v>
      </c>
      <c r="S642" s="133">
        <f t="shared" ca="1" si="400"/>
        <v>0</v>
      </c>
      <c r="T642" s="133">
        <f t="shared" ref="T642:T650" ca="1" si="401">IF(Q642&gt;0,S642*100/Q642,0)</f>
        <v>0</v>
      </c>
      <c r="U642" s="133">
        <f t="shared" ref="U642:U650" ca="1" si="402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3">L646+L649</f>
        <v>0</v>
      </c>
      <c r="M643" s="49">
        <f t="shared" si="403"/>
        <v>0</v>
      </c>
      <c r="N643" s="49">
        <f t="shared" si="403"/>
        <v>0</v>
      </c>
      <c r="O643" s="49">
        <f t="shared" si="398"/>
        <v>0</v>
      </c>
      <c r="P643" s="49">
        <f t="shared" si="399"/>
        <v>0</v>
      </c>
      <c r="Q643" s="49">
        <f t="shared" ref="Q643:S644" si="404">Q646+Q649</f>
        <v>0</v>
      </c>
      <c r="R643" s="49">
        <f t="shared" si="404"/>
        <v>0</v>
      </c>
      <c r="S643" s="49">
        <f t="shared" si="404"/>
        <v>0</v>
      </c>
      <c r="T643" s="49">
        <f t="shared" si="401"/>
        <v>0</v>
      </c>
      <c r="U643" s="49">
        <f t="shared" si="402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3"/>
        <v>0</v>
      </c>
      <c r="M644" s="47">
        <f t="shared" si="403"/>
        <v>0</v>
      </c>
      <c r="N644" s="47">
        <f t="shared" si="403"/>
        <v>0</v>
      </c>
      <c r="O644" s="47">
        <f t="shared" si="398"/>
        <v>0</v>
      </c>
      <c r="P644" s="47">
        <f t="shared" si="399"/>
        <v>0</v>
      </c>
      <c r="Q644" s="47">
        <f t="shared" ca="1" si="404"/>
        <v>0</v>
      </c>
      <c r="R644" s="47">
        <f t="shared" ca="1" si="404"/>
        <v>0</v>
      </c>
      <c r="S644" s="47">
        <f t="shared" ca="1" si="404"/>
        <v>0</v>
      </c>
      <c r="T644" s="47">
        <f t="shared" ca="1" si="401"/>
        <v>0</v>
      </c>
      <c r="U644" s="47">
        <f t="shared" ca="1" si="402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5">L646+L647</f>
        <v>0</v>
      </c>
      <c r="M645" s="47">
        <f t="shared" si="405"/>
        <v>0</v>
      </c>
      <c r="N645" s="47">
        <f t="shared" si="405"/>
        <v>0</v>
      </c>
      <c r="O645" s="47">
        <f t="shared" si="398"/>
        <v>0</v>
      </c>
      <c r="P645" s="47">
        <f t="shared" si="399"/>
        <v>0</v>
      </c>
      <c r="Q645" s="47">
        <f t="shared" ref="Q645:S645" ca="1" si="406">Q646+Q647</f>
        <v>0</v>
      </c>
      <c r="R645" s="47">
        <f t="shared" ca="1" si="406"/>
        <v>0</v>
      </c>
      <c r="S645" s="47">
        <f t="shared" ca="1" si="406"/>
        <v>0</v>
      </c>
      <c r="T645" s="47">
        <f t="shared" ca="1" si="401"/>
        <v>0</v>
      </c>
      <c r="U645" s="47">
        <f t="shared" ca="1" si="402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8"/>
        <v>0</v>
      </c>
      <c r="P646" s="49">
        <f t="shared" si="399"/>
        <v>0</v>
      </c>
      <c r="Q646" s="49">
        <v>0</v>
      </c>
      <c r="R646" s="49">
        <v>0</v>
      </c>
      <c r="S646" s="49">
        <v>0</v>
      </c>
      <c r="T646" s="49">
        <f t="shared" si="401"/>
        <v>0</v>
      </c>
      <c r="U646" s="49">
        <f t="shared" si="402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8"/>
        <v>0</v>
      </c>
      <c r="P647" s="47">
        <f t="shared" si="399"/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t="shared" ca="1" si="401"/>
        <v>0</v>
      </c>
      <c r="U647" s="47">
        <f t="shared" ca="1" si="402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7">L649+L650</f>
        <v>0</v>
      </c>
      <c r="M648" s="47">
        <f t="shared" si="407"/>
        <v>0</v>
      </c>
      <c r="N648" s="47">
        <f t="shared" si="407"/>
        <v>0</v>
      </c>
      <c r="O648" s="47">
        <f t="shared" si="398"/>
        <v>0</v>
      </c>
      <c r="P648" s="47">
        <f t="shared" si="399"/>
        <v>0</v>
      </c>
      <c r="Q648" s="47">
        <f t="shared" ref="Q648:S648" si="408">Q649+Q650</f>
        <v>0</v>
      </c>
      <c r="R648" s="47">
        <f t="shared" si="408"/>
        <v>0</v>
      </c>
      <c r="S648" s="47">
        <f t="shared" si="408"/>
        <v>0</v>
      </c>
      <c r="T648" s="47">
        <f t="shared" si="401"/>
        <v>0</v>
      </c>
      <c r="U648" s="47">
        <f t="shared" si="402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8"/>
        <v>0</v>
      </c>
      <c r="P649" s="49">
        <f t="shared" si="399"/>
        <v>0</v>
      </c>
      <c r="Q649" s="49">
        <v>0</v>
      </c>
      <c r="R649" s="49">
        <v>0</v>
      </c>
      <c r="S649" s="49">
        <v>0</v>
      </c>
      <c r="T649" s="49">
        <f t="shared" si="401"/>
        <v>0</v>
      </c>
      <c r="U649" s="49">
        <f t="shared" si="402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8"/>
        <v>0</v>
      </c>
      <c r="P650" s="47">
        <f t="shared" si="399"/>
        <v>0</v>
      </c>
      <c r="Q650" s="47">
        <v>0</v>
      </c>
      <c r="R650" s="47">
        <v>0</v>
      </c>
      <c r="S650" s="47">
        <v>0</v>
      </c>
      <c r="T650" s="47">
        <f t="shared" si="401"/>
        <v>0</v>
      </c>
      <c r="U650" s="47">
        <f t="shared" si="402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IFERROR(__xludf.DUMMYFUNCTION("IMPORTRANGE(""https://docs.google.com/spreadsheets/d/1eHaY18a8A9IcSdp1K8H6x8fbOy06t2VsZHhMHf-1x7Y/edit?usp=sharing"",""แผน!IF75"")"),0)</f>
        <v>0</v>
      </c>
      <c r="J652" s="37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t="shared" ref="K652:K654" ca="1" si="409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IFERROR(__xludf.DUMMYFUNCTION("IMPORTRANGE(""https://docs.google.com/spreadsheets/d/1eHaY18a8A9IcSdp1K8H6x8fbOy06t2VsZHhMHf-1x7Y/edit?usp=sharing"",""แผน!IG75"")"),0)</f>
        <v>0</v>
      </c>
      <c r="J653" s="37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t="shared" ca="1" si="409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IFERROR(__xludf.DUMMYFUNCTION("IMPORTRANGE(""https://docs.google.com/spreadsheets/d/1eHaY18a8A9IcSdp1K8H6x8fbOy06t2VsZHhMHf-1x7Y/edit?usp=sharing"",""แผน!IH75"")"),0)</f>
        <v>0</v>
      </c>
      <c r="J654" s="371">
        <f>J657+J660</f>
        <v>0</v>
      </c>
      <c r="K654" s="133">
        <f t="shared" ca="1" si="409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IFERROR(__xludf.DUMMYFUNCTION("IMPORTRANGE(""https://docs.google.com/spreadsheets/d/1eHaY18a8A9IcSdp1K8H6x8fbOy06t2VsZHhMHf-1x7Y/edit?usp=sharing"",""แผน!II75"")"),0)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IFERROR(__xludf.DUMMYFUNCTION("IMPORTRANGE(""https://docs.google.com/spreadsheets/d/1eHaY18a8A9IcSdp1K8H6x8fbOy06t2VsZHhMHf-1x7Y/edit?usp=sharing"",""แผน!IJ75"")"),0)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IFERROR(__xludf.DUMMYFUNCTION("IMPORTRANGE(""https://docs.google.com/spreadsheets/d/1eHaY18a8A9IcSdp1K8H6x8fbOy06t2VsZHhMHf-1x7Y/edit?usp=sharing"",""แผน!IK75"")"),0)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IFERROR(__xludf.DUMMYFUNCTION("IMPORTRANGE(""https://docs.google.com/spreadsheets/d/1eHaY18a8A9IcSdp1K8H6x8fbOy06t2VsZHhMHf-1x7Y/edit?usp=sharing"",""แผน!IL75"")"),0)</f>
        <v>0</v>
      </c>
      <c r="J673" s="37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t="shared" ref="K673:K676" ca="1" si="410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IFERROR(__xludf.DUMMYFUNCTION("IMPORTRANGE(""https://docs.google.com/spreadsheets/d/1eHaY18a8A9IcSdp1K8H6x8fbOy06t2VsZHhMHf-1x7Y/edit?usp=sharing"",""แผน!IM75"")"),0)</f>
        <v>0</v>
      </c>
      <c r="J674" s="371">
        <f ca="1">J676+J679</f>
        <v>0</v>
      </c>
      <c r="K674" s="133">
        <f t="shared" ca="1" si="410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IFERROR(__xludf.DUMMYFUNCTION("IMPORTRANGE(""https://docs.google.com/spreadsheets/d/1eHaY18a8A9IcSdp1K8H6x8fbOy06t2VsZHhMHf-1x7Y/edit?usp=sharing"",""แผน!IN75"")"),0)</f>
        <v>0</v>
      </c>
      <c r="J675" s="371">
        <f ca="1">J678+J681</f>
        <v>0</v>
      </c>
      <c r="K675" s="133">
        <f t="shared" ca="1" si="410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IFERROR(__xludf.DUMMYFUNCTION("IMPORTRANGE(""https://docs.google.com/spreadsheets/d/1eHaY18a8A9IcSdp1K8H6x8fbOy06t2VsZHhMHf-1x7Y/edit?usp=sharing"",""แผน!IO75"")"),0)</f>
        <v>0</v>
      </c>
      <c r="J676" s="37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t="shared" ca="1" si="410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IFERROR(__xludf.DUMMYFUNCTION("IMPORTRANGE(""https://docs.google.com/spreadsheets/d/1eHaY18a8A9IcSdp1K8H6x8fbOy06t2VsZHhMHf-1x7Y/edit?usp=sharing"",""แผน!IP75"")"),0)</f>
        <v>0</v>
      </c>
      <c r="J678" s="37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t="shared" ref="K678:K679" ca="1" si="411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IFERROR(__xludf.DUMMYFUNCTION("IMPORTRANGE(""https://docs.google.com/spreadsheets/d/1eHaY18a8A9IcSdp1K8H6x8fbOy06t2VsZHhMHf-1x7Y/edit?usp=sharing"",""แผน!IQ75"")"),0)</f>
        <v>0</v>
      </c>
      <c r="J679" s="37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t="shared" ca="1" si="411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IFERROR(__xludf.DUMMYFUNCTION("IMPORTRANGE(""https://docs.google.com/spreadsheets/d/1eHaY18a8A9IcSdp1K8H6x8fbOy06t2VsZHhMHf-1x7Y/edit?usp=sharing"",""แผน!IR75"")"),0)</f>
        <v>0</v>
      </c>
      <c r="J681" s="37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t="shared" ref="K681:K682" ca="1" si="412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IFERROR(__xludf.DUMMYFUNCTION("IMPORTRANGE(""https://docs.google.com/spreadsheets/d/1eHaY18a8A9IcSdp1K8H6x8fbOy06t2VsZHhMHf-1x7Y/edit?usp=sharing"",""แผน!IS75"")"),0)</f>
        <v>0</v>
      </c>
      <c r="J682" s="371">
        <f>J685+J688</f>
        <v>0</v>
      </c>
      <c r="K682" s="133">
        <f t="shared" ca="1" si="412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3">I707+I709</f>
        <v>5</v>
      </c>
      <c r="J689" s="844">
        <f t="shared" ca="1" si="413"/>
        <v>12</v>
      </c>
      <c r="K689" s="505">
        <f ca="1">IF(I689&gt;0,J689*100/I689,0)</f>
        <v>240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4">L691+L692</f>
        <v>0</v>
      </c>
      <c r="M690" s="133">
        <f t="shared" si="414"/>
        <v>0</v>
      </c>
      <c r="N690" s="133">
        <f t="shared" si="414"/>
        <v>0</v>
      </c>
      <c r="O690" s="133">
        <f t="shared" ref="O690:O698" si="415">IF(L690&gt;0,N690*100/L690,0)</f>
        <v>0</v>
      </c>
      <c r="P690" s="133">
        <f t="shared" ref="P690:P698" si="416">IF(M690&gt;0,N690*100/M690,0)</f>
        <v>0</v>
      </c>
      <c r="Q690" s="133">
        <f t="shared" ref="Q690:S690" ca="1" si="417">Q691+Q692</f>
        <v>79150</v>
      </c>
      <c r="R690" s="133">
        <f t="shared" ca="1" si="417"/>
        <v>79150</v>
      </c>
      <c r="S690" s="133">
        <f t="shared" ca="1" si="417"/>
        <v>0</v>
      </c>
      <c r="T690" s="133">
        <f t="shared" ref="T690:T698" ca="1" si="418">IF(Q690&gt;0,S690*100/Q690,0)</f>
        <v>0</v>
      </c>
      <c r="U690" s="133">
        <f t="shared" ref="U690:U698" ca="1" si="419">IF(R690&gt;0,S690*100/R690,0)</f>
        <v>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0">L694+L697</f>
        <v>0</v>
      </c>
      <c r="M691" s="49">
        <f t="shared" si="420"/>
        <v>0</v>
      </c>
      <c r="N691" s="49">
        <f t="shared" si="420"/>
        <v>0</v>
      </c>
      <c r="O691" s="49">
        <f t="shared" si="415"/>
        <v>0</v>
      </c>
      <c r="P691" s="49">
        <f t="shared" si="416"/>
        <v>0</v>
      </c>
      <c r="Q691" s="49">
        <f t="shared" ref="Q691:S692" si="421">Q694+Q697</f>
        <v>0</v>
      </c>
      <c r="R691" s="49">
        <f t="shared" si="421"/>
        <v>0</v>
      </c>
      <c r="S691" s="49">
        <f t="shared" si="421"/>
        <v>0</v>
      </c>
      <c r="T691" s="49">
        <f t="shared" si="418"/>
        <v>0</v>
      </c>
      <c r="U691" s="49">
        <f t="shared" si="419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0"/>
        <v>0</v>
      </c>
      <c r="M692" s="47">
        <f t="shared" si="420"/>
        <v>0</v>
      </c>
      <c r="N692" s="47">
        <f t="shared" si="420"/>
        <v>0</v>
      </c>
      <c r="O692" s="47">
        <f t="shared" si="415"/>
        <v>0</v>
      </c>
      <c r="P692" s="47">
        <f t="shared" si="416"/>
        <v>0</v>
      </c>
      <c r="Q692" s="47">
        <f t="shared" ca="1" si="421"/>
        <v>79150</v>
      </c>
      <c r="R692" s="47">
        <f t="shared" ca="1" si="421"/>
        <v>79150</v>
      </c>
      <c r="S692" s="47">
        <f t="shared" ca="1" si="421"/>
        <v>0</v>
      </c>
      <c r="T692" s="47">
        <f t="shared" ca="1" si="418"/>
        <v>0</v>
      </c>
      <c r="U692" s="47">
        <f t="shared" ca="1" si="419"/>
        <v>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2">L694+L695</f>
        <v>0</v>
      </c>
      <c r="M693" s="47">
        <f t="shared" si="422"/>
        <v>0</v>
      </c>
      <c r="N693" s="47">
        <f t="shared" si="422"/>
        <v>0</v>
      </c>
      <c r="O693" s="47">
        <f t="shared" si="415"/>
        <v>0</v>
      </c>
      <c r="P693" s="47">
        <f t="shared" si="416"/>
        <v>0</v>
      </c>
      <c r="Q693" s="47">
        <f t="shared" ref="Q693:S693" ca="1" si="423">Q694+Q695</f>
        <v>79150</v>
      </c>
      <c r="R693" s="47">
        <f t="shared" ca="1" si="423"/>
        <v>79150</v>
      </c>
      <c r="S693" s="47">
        <f t="shared" ca="1" si="423"/>
        <v>0</v>
      </c>
      <c r="T693" s="47">
        <f t="shared" ca="1" si="418"/>
        <v>0</v>
      </c>
      <c r="U693" s="47">
        <f t="shared" ca="1" si="419"/>
        <v>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5"/>
        <v>0</v>
      </c>
      <c r="P694" s="49">
        <f t="shared" si="416"/>
        <v>0</v>
      </c>
      <c r="Q694" s="49">
        <v>0</v>
      </c>
      <c r="R694" s="49">
        <v>0</v>
      </c>
      <c r="S694" s="49">
        <v>0</v>
      </c>
      <c r="T694" s="49">
        <f t="shared" si="418"/>
        <v>0</v>
      </c>
      <c r="U694" s="49">
        <f t="shared" si="419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5"/>
        <v>0</v>
      </c>
      <c r="P695" s="47">
        <f t="shared" si="416"/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t="shared" ca="1" si="418"/>
        <v>0</v>
      </c>
      <c r="U695" s="47">
        <f t="shared" ca="1" si="419"/>
        <v>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4">L697+L698</f>
        <v>0</v>
      </c>
      <c r="M696" s="47">
        <f t="shared" si="424"/>
        <v>0</v>
      </c>
      <c r="N696" s="47">
        <f t="shared" si="424"/>
        <v>0</v>
      </c>
      <c r="O696" s="47">
        <f t="shared" si="415"/>
        <v>0</v>
      </c>
      <c r="P696" s="47">
        <f t="shared" si="416"/>
        <v>0</v>
      </c>
      <c r="Q696" s="47">
        <f t="shared" ref="Q696:S696" si="425">Q697+Q698</f>
        <v>0</v>
      </c>
      <c r="R696" s="47">
        <f t="shared" si="425"/>
        <v>0</v>
      </c>
      <c r="S696" s="47">
        <f t="shared" si="425"/>
        <v>0</v>
      </c>
      <c r="T696" s="47">
        <f t="shared" si="418"/>
        <v>0</v>
      </c>
      <c r="U696" s="47">
        <f t="shared" si="419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5"/>
        <v>0</v>
      </c>
      <c r="P697" s="49">
        <f t="shared" si="416"/>
        <v>0</v>
      </c>
      <c r="Q697" s="49">
        <v>0</v>
      </c>
      <c r="R697" s="49">
        <v>0</v>
      </c>
      <c r="S697" s="49">
        <v>0</v>
      </c>
      <c r="T697" s="49">
        <f t="shared" si="418"/>
        <v>0</v>
      </c>
      <c r="U697" s="49">
        <f t="shared" si="419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5"/>
        <v>0</v>
      </c>
      <c r="P698" s="47">
        <f t="shared" si="416"/>
        <v>0</v>
      </c>
      <c r="Q698" s="47">
        <v>0</v>
      </c>
      <c r="R698" s="47">
        <v>0</v>
      </c>
      <c r="S698" s="47">
        <v>0</v>
      </c>
      <c r="T698" s="47">
        <f t="shared" si="418"/>
        <v>0</v>
      </c>
      <c r="U698" s="47">
        <f t="shared" si="419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IFERROR(__xludf.DUMMYFUNCTION("IMPORTRANGE(""https://docs.google.com/spreadsheets/d/1eHaY18a8A9IcSdp1K8H6x8fbOy06t2VsZHhMHf-1x7Y/edit?usp=sharing"",""แผน!LC75"")"),0)</f>
        <v>0</v>
      </c>
      <c r="J700" s="169">
        <v>0</v>
      </c>
      <c r="K700" s="154">
        <f t="shared" ref="K700:K710" ca="1" si="426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7">I703+I705</f>
        <v>5</v>
      </c>
      <c r="J701" s="371">
        <f t="shared" ca="1" si="427"/>
        <v>12</v>
      </c>
      <c r="K701" s="133">
        <f t="shared" ca="1" si="426"/>
        <v>240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6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IFERROR(__xludf.DUMMYFUNCTION("IMPORTRANGE(""https://docs.google.com/spreadsheets/d/1eHaY18a8A9IcSdp1K8H6x8fbOy06t2VsZHhMHf-1x7Y/edit?usp=sharing"",""แผน!LJ75"")"),0)</f>
        <v>0</v>
      </c>
      <c r="J703" s="37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t="shared" ca="1" si="426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 t="shared" si="426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IFERROR(__xludf.DUMMYFUNCTION("IMPORTRANGE(""https://docs.google.com/spreadsheets/d/1eHaY18a8A9IcSdp1K8H6x8fbOy06t2VsZHhMHf-1x7Y/edit?usp=sharing"",""แผน!LK75"")"),5)</f>
        <v>5</v>
      </c>
      <c r="J705" s="372">
        <f ca="1">IFERROR(__xludf.DUMMYFUNCTION("IMPORTRANGE(""https://docs.google.com/spreadsheets/d/1tdoBKaGub7dwA3U6UFTqxio9LNnvDCQjHKmttSEBsFQ/edit?usp=sharing"",""จัดที่ดิน!AR75"")"),12)</f>
        <v>12</v>
      </c>
      <c r="K705" s="154">
        <f t="shared" ca="1" si="426"/>
        <v>240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 t="shared" si="426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IFERROR(__xludf.DUMMYFUNCTION("IMPORTRANGE(""https://docs.google.com/spreadsheets/d/1eHaY18a8A9IcSdp1K8H6x8fbOy06t2VsZHhMHf-1x7Y/edit?usp=sharing"",""แผน!LJ75"")"),0)</f>
        <v>0</v>
      </c>
      <c r="J707" s="37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t="shared" ca="1" si="426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 t="shared" si="426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IFERROR(__xludf.DUMMYFUNCTION("IMPORTRANGE(""https://docs.google.com/spreadsheets/d/1eHaY18a8A9IcSdp1K8H6x8fbOy06t2VsZHhMHf-1x7Y/edit?usp=sharing"",""แผน!LK75"")"),5)</f>
        <v>5</v>
      </c>
      <c r="J709" s="372">
        <f ca="1">IFERROR(__xludf.DUMMYFUNCTION("IMPORTRANGE(""https://docs.google.com/spreadsheets/d/1tdoBKaGub7dwA3U6UFTqxio9LNnvDCQjHKmttSEBsFQ/edit?usp=sharing"",""จัดที่ดิน!BP75"")"),12)</f>
        <v>12</v>
      </c>
      <c r="K709" s="47">
        <f t="shared" ca="1" si="426"/>
        <v>240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 t="shared" si="426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8">L715+L716</f>
        <v>0</v>
      </c>
      <c r="M714" s="133">
        <f t="shared" si="428"/>
        <v>0</v>
      </c>
      <c r="N714" s="133">
        <f t="shared" si="428"/>
        <v>0</v>
      </c>
      <c r="O714" s="133">
        <f t="shared" ref="O714:O722" si="429">IF(L714&gt;0,N714*100/L714,0)</f>
        <v>0</v>
      </c>
      <c r="P714" s="133">
        <f t="shared" ref="P714:P722" si="430">IF(M714&gt;0,N714*100/M714,0)</f>
        <v>0</v>
      </c>
      <c r="Q714" s="133">
        <f t="shared" ref="Q714:S714" si="431">Q715+Q716</f>
        <v>0</v>
      </c>
      <c r="R714" s="133">
        <f t="shared" si="431"/>
        <v>0</v>
      </c>
      <c r="S714" s="133">
        <f t="shared" si="431"/>
        <v>0</v>
      </c>
      <c r="T714" s="133">
        <f t="shared" ref="T714:T722" si="432">IF(Q714&gt;0,S714*100/Q714,0)</f>
        <v>0</v>
      </c>
      <c r="U714" s="133">
        <f t="shared" ref="U714:U722" si="433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4">L718+L721</f>
        <v>0</v>
      </c>
      <c r="M715" s="49">
        <f t="shared" si="434"/>
        <v>0</v>
      </c>
      <c r="N715" s="49">
        <f t="shared" si="434"/>
        <v>0</v>
      </c>
      <c r="O715" s="49">
        <f t="shared" si="429"/>
        <v>0</v>
      </c>
      <c r="P715" s="49">
        <f t="shared" si="430"/>
        <v>0</v>
      </c>
      <c r="Q715" s="49">
        <f t="shared" ref="Q715:S716" si="435">Q718+Q721</f>
        <v>0</v>
      </c>
      <c r="R715" s="49">
        <f t="shared" si="435"/>
        <v>0</v>
      </c>
      <c r="S715" s="49">
        <f t="shared" si="435"/>
        <v>0</v>
      </c>
      <c r="T715" s="49">
        <f t="shared" si="432"/>
        <v>0</v>
      </c>
      <c r="U715" s="49">
        <f t="shared" si="433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4"/>
        <v>0</v>
      </c>
      <c r="M716" s="47">
        <f t="shared" si="434"/>
        <v>0</v>
      </c>
      <c r="N716" s="47">
        <f t="shared" si="434"/>
        <v>0</v>
      </c>
      <c r="O716" s="47">
        <f t="shared" si="429"/>
        <v>0</v>
      </c>
      <c r="P716" s="47">
        <f t="shared" si="430"/>
        <v>0</v>
      </c>
      <c r="Q716" s="47">
        <f t="shared" si="435"/>
        <v>0</v>
      </c>
      <c r="R716" s="47">
        <f t="shared" si="435"/>
        <v>0</v>
      </c>
      <c r="S716" s="47">
        <f t="shared" si="435"/>
        <v>0</v>
      </c>
      <c r="T716" s="47">
        <f t="shared" si="432"/>
        <v>0</v>
      </c>
      <c r="U716" s="47">
        <f t="shared" si="433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6">L718+L719</f>
        <v>0</v>
      </c>
      <c r="M717" s="47">
        <f t="shared" si="436"/>
        <v>0</v>
      </c>
      <c r="N717" s="47">
        <f t="shared" si="436"/>
        <v>0</v>
      </c>
      <c r="O717" s="47">
        <f t="shared" si="429"/>
        <v>0</v>
      </c>
      <c r="P717" s="47">
        <f t="shared" si="430"/>
        <v>0</v>
      </c>
      <c r="Q717" s="47">
        <f t="shared" ref="Q717:S717" si="437">Q718+Q719</f>
        <v>0</v>
      </c>
      <c r="R717" s="47">
        <f t="shared" si="437"/>
        <v>0</v>
      </c>
      <c r="S717" s="47">
        <f t="shared" si="437"/>
        <v>0</v>
      </c>
      <c r="T717" s="47">
        <f t="shared" si="432"/>
        <v>0</v>
      </c>
      <c r="U717" s="47">
        <f t="shared" si="433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9"/>
        <v>0</v>
      </c>
      <c r="P718" s="49">
        <f t="shared" si="430"/>
        <v>0</v>
      </c>
      <c r="Q718" s="49">
        <v>0</v>
      </c>
      <c r="R718" s="49">
        <v>0</v>
      </c>
      <c r="S718" s="49">
        <v>0</v>
      </c>
      <c r="T718" s="49">
        <f t="shared" si="432"/>
        <v>0</v>
      </c>
      <c r="U718" s="49">
        <f t="shared" si="433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9"/>
        <v>0</v>
      </c>
      <c r="P719" s="47">
        <f t="shared" si="430"/>
        <v>0</v>
      </c>
      <c r="Q719" s="47">
        <v>0</v>
      </c>
      <c r="R719" s="47">
        <v>0</v>
      </c>
      <c r="S719" s="47">
        <v>0</v>
      </c>
      <c r="T719" s="47">
        <f t="shared" si="432"/>
        <v>0</v>
      </c>
      <c r="U719" s="47">
        <f t="shared" si="433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8">L721+L722</f>
        <v>0</v>
      </c>
      <c r="M720" s="47">
        <f t="shared" si="438"/>
        <v>0</v>
      </c>
      <c r="N720" s="47">
        <f t="shared" si="438"/>
        <v>0</v>
      </c>
      <c r="O720" s="47">
        <f t="shared" si="429"/>
        <v>0</v>
      </c>
      <c r="P720" s="47">
        <f t="shared" si="430"/>
        <v>0</v>
      </c>
      <c r="Q720" s="47">
        <f t="shared" ref="Q720:S720" si="439">Q721+Q722</f>
        <v>0</v>
      </c>
      <c r="R720" s="47">
        <f t="shared" si="439"/>
        <v>0</v>
      </c>
      <c r="S720" s="47">
        <f t="shared" si="439"/>
        <v>0</v>
      </c>
      <c r="T720" s="47">
        <f t="shared" si="432"/>
        <v>0</v>
      </c>
      <c r="U720" s="47">
        <f t="shared" si="433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9"/>
        <v>0</v>
      </c>
      <c r="P721" s="49">
        <f t="shared" si="430"/>
        <v>0</v>
      </c>
      <c r="Q721" s="49">
        <v>0</v>
      </c>
      <c r="R721" s="49">
        <v>0</v>
      </c>
      <c r="S721" s="49">
        <v>0</v>
      </c>
      <c r="T721" s="49">
        <f t="shared" si="432"/>
        <v>0</v>
      </c>
      <c r="U721" s="49">
        <f t="shared" si="433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9"/>
        <v>0</v>
      </c>
      <c r="P722" s="47">
        <f t="shared" si="430"/>
        <v>0</v>
      </c>
      <c r="Q722" s="47">
        <v>0</v>
      </c>
      <c r="R722" s="47">
        <v>0</v>
      </c>
      <c r="S722" s="47">
        <v>0</v>
      </c>
      <c r="T722" s="47">
        <f t="shared" si="432"/>
        <v>0</v>
      </c>
      <c r="U722" s="47">
        <f t="shared" si="433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IFERROR(__xludf.DUMMYFUNCTION("IMPORTRANGE(""https://docs.google.com/spreadsheets/d/1eHaY18a8A9IcSdp1K8H6x8fbOy06t2VsZHhMHf-1x7Y/edit?usp=sharing"",""แผน!GA75"")"),16)</f>
        <v>16</v>
      </c>
      <c r="J726" s="504">
        <f>J742+J746+J749</f>
        <v>0</v>
      </c>
      <c r="K726" s="505">
        <f t="shared" ref="K726:K727" ca="1" si="440">IF(I726&gt;0,J726*100/I726,0)</f>
        <v>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IFERROR(__xludf.DUMMYFUNCTION("IMPORTRANGE(""https://docs.google.com/spreadsheets/d/1eHaY18a8A9IcSdp1K8H6x8fbOy06t2VsZHhMHf-1x7Y/edit?usp=sharing"",""แผน!FZ75"")"),150)</f>
        <v>150</v>
      </c>
      <c r="J727" s="504">
        <f>J752+J755</f>
        <v>0</v>
      </c>
      <c r="K727" s="505">
        <f t="shared" ca="1" si="440"/>
        <v>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1">L729+L730</f>
        <v>0</v>
      </c>
      <c r="M728" s="133">
        <f t="shared" si="441"/>
        <v>0</v>
      </c>
      <c r="N728" s="133">
        <f t="shared" si="441"/>
        <v>0</v>
      </c>
      <c r="O728" s="133">
        <f t="shared" ref="O728:O736" si="442">IF(L728&gt;0,N728*100/L728,0)</f>
        <v>0</v>
      </c>
      <c r="P728" s="133">
        <f t="shared" ref="P728:P736" si="443">IF(M728&gt;0,N728*100/M728,0)</f>
        <v>0</v>
      </c>
      <c r="Q728" s="133">
        <f t="shared" ref="Q728:S728" ca="1" si="444">Q729+Q730</f>
        <v>143438</v>
      </c>
      <c r="R728" s="133">
        <f t="shared" ca="1" si="444"/>
        <v>188378</v>
      </c>
      <c r="S728" s="133">
        <f t="shared" ca="1" si="444"/>
        <v>183211</v>
      </c>
      <c r="T728" s="133">
        <f t="shared" ref="T728:T736" ca="1" si="445">IF(Q728&gt;0,S728*100/Q728,0)</f>
        <v>127.728356502461</v>
      </c>
      <c r="U728" s="133">
        <f t="shared" ref="U728:U736" ca="1" si="446">IF(R728&gt;0,S728*100/R728,0)</f>
        <v>97.257110702948324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7">L732+L735</f>
        <v>0</v>
      </c>
      <c r="M729" s="49">
        <f t="shared" si="447"/>
        <v>0</v>
      </c>
      <c r="N729" s="49">
        <f t="shared" si="447"/>
        <v>0</v>
      </c>
      <c r="O729" s="49">
        <f t="shared" si="442"/>
        <v>0</v>
      </c>
      <c r="P729" s="49">
        <f t="shared" si="443"/>
        <v>0</v>
      </c>
      <c r="Q729" s="49">
        <f t="shared" ref="Q729:S730" si="448">Q732+Q735</f>
        <v>0</v>
      </c>
      <c r="R729" s="49">
        <f t="shared" si="448"/>
        <v>0</v>
      </c>
      <c r="S729" s="49">
        <f t="shared" si="448"/>
        <v>0</v>
      </c>
      <c r="T729" s="49">
        <f t="shared" si="445"/>
        <v>0</v>
      </c>
      <c r="U729" s="49">
        <f t="shared" si="446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7"/>
        <v>0</v>
      </c>
      <c r="M730" s="47">
        <f t="shared" si="447"/>
        <v>0</v>
      </c>
      <c r="N730" s="47">
        <f t="shared" si="447"/>
        <v>0</v>
      </c>
      <c r="O730" s="47">
        <f t="shared" si="442"/>
        <v>0</v>
      </c>
      <c r="P730" s="47">
        <f t="shared" si="443"/>
        <v>0</v>
      </c>
      <c r="Q730" s="47">
        <f t="shared" ca="1" si="448"/>
        <v>143438</v>
      </c>
      <c r="R730" s="47">
        <f t="shared" ca="1" si="448"/>
        <v>188378</v>
      </c>
      <c r="S730" s="47">
        <f t="shared" ca="1" si="448"/>
        <v>183211</v>
      </c>
      <c r="T730" s="47">
        <f t="shared" ca="1" si="445"/>
        <v>127.728356502461</v>
      </c>
      <c r="U730" s="47">
        <f t="shared" ca="1" si="446"/>
        <v>97.257110702948324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9">L732+L733</f>
        <v>0</v>
      </c>
      <c r="M731" s="47">
        <f t="shared" si="449"/>
        <v>0</v>
      </c>
      <c r="N731" s="47">
        <f t="shared" si="449"/>
        <v>0</v>
      </c>
      <c r="O731" s="47">
        <f t="shared" si="442"/>
        <v>0</v>
      </c>
      <c r="P731" s="47">
        <f t="shared" si="443"/>
        <v>0</v>
      </c>
      <c r="Q731" s="47">
        <f t="shared" ref="Q731:S731" ca="1" si="450">Q732+Q733</f>
        <v>143438</v>
      </c>
      <c r="R731" s="47">
        <f t="shared" ca="1" si="450"/>
        <v>188378</v>
      </c>
      <c r="S731" s="47">
        <f t="shared" ca="1" si="450"/>
        <v>183211</v>
      </c>
      <c r="T731" s="47">
        <f t="shared" ca="1" si="445"/>
        <v>127.728356502461</v>
      </c>
      <c r="U731" s="47">
        <f t="shared" ca="1" si="446"/>
        <v>97.257110702948324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2"/>
        <v>0</v>
      </c>
      <c r="P732" s="49">
        <f t="shared" si="443"/>
        <v>0</v>
      </c>
      <c r="Q732" s="49">
        <v>0</v>
      </c>
      <c r="R732" s="49">
        <v>0</v>
      </c>
      <c r="S732" s="49">
        <v>0</v>
      </c>
      <c r="T732" s="49">
        <f t="shared" si="445"/>
        <v>0</v>
      </c>
      <c r="U732" s="49">
        <f t="shared" si="446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2"/>
        <v>0</v>
      </c>
      <c r="P733" s="47">
        <f t="shared" si="443"/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IFERROR(__xludf.DUMMYFUNCTION("IMPORTRANGE(""https://docs.google.com/spreadsheets/d/1ItG2mGa2ceCfYo0BwxsXqNm01IGEUdYcSSLTEv9YCik/edit?usp=sharing"",""เบิกจ่ายกองทุน!P75"")"),188378)</f>
        <v>188378</v>
      </c>
      <c r="S733" s="47">
        <f ca="1">IFERROR(__xludf.DUMMYFUNCTION("IMPORTRANGE(""https://docs.google.com/spreadsheets/d/1ItG2mGa2ceCfYo0BwxsXqNm01IGEUdYcSSLTEv9YCik/edit?usp=sharing"",""เบิกจ่ายกองทุน!Q75"")"),183211)</f>
        <v>183211</v>
      </c>
      <c r="T733" s="47">
        <f t="shared" ca="1" si="445"/>
        <v>127.728356502461</v>
      </c>
      <c r="U733" s="47">
        <f t="shared" ca="1" si="446"/>
        <v>97.257110702948324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1">L735+L736</f>
        <v>0</v>
      </c>
      <c r="M734" s="47">
        <f t="shared" si="451"/>
        <v>0</v>
      </c>
      <c r="N734" s="47">
        <f t="shared" si="451"/>
        <v>0</v>
      </c>
      <c r="O734" s="47">
        <f t="shared" si="442"/>
        <v>0</v>
      </c>
      <c r="P734" s="47">
        <f t="shared" si="443"/>
        <v>0</v>
      </c>
      <c r="Q734" s="47">
        <f t="shared" ref="Q734:S734" si="452">Q735+Q736</f>
        <v>0</v>
      </c>
      <c r="R734" s="47">
        <f t="shared" si="452"/>
        <v>0</v>
      </c>
      <c r="S734" s="47">
        <f t="shared" si="452"/>
        <v>0</v>
      </c>
      <c r="T734" s="47">
        <f t="shared" si="445"/>
        <v>0</v>
      </c>
      <c r="U734" s="47">
        <f t="shared" si="446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2"/>
        <v>0</v>
      </c>
      <c r="P735" s="49">
        <f t="shared" si="443"/>
        <v>0</v>
      </c>
      <c r="Q735" s="49">
        <v>0</v>
      </c>
      <c r="R735" s="49">
        <v>0</v>
      </c>
      <c r="S735" s="49">
        <v>0</v>
      </c>
      <c r="T735" s="49">
        <f t="shared" si="445"/>
        <v>0</v>
      </c>
      <c r="U735" s="49">
        <f t="shared" si="446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2"/>
        <v>0</v>
      </c>
      <c r="P736" s="47">
        <f t="shared" si="443"/>
        <v>0</v>
      </c>
      <c r="Q736" s="47">
        <v>0</v>
      </c>
      <c r="R736" s="47">
        <v>0</v>
      </c>
      <c r="S736" s="47">
        <v>0</v>
      </c>
      <c r="T736" s="47">
        <f t="shared" si="445"/>
        <v>0</v>
      </c>
      <c r="U736" s="47">
        <f t="shared" si="446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IFERROR(__xludf.DUMMYFUNCTION("IMPORTRANGE(""https://docs.google.com/spreadsheets/d/1eHaY18a8A9IcSdp1K8H6x8fbOy06t2VsZHhMHf-1x7Y/edit?usp=sharing"",""แผน!GB75"")"),120)</f>
        <v>120</v>
      </c>
      <c r="J740" s="795">
        <v>0</v>
      </c>
      <c r="K740" s="352">
        <f ca="1">IF(I740&gt;0,J740*100/I740,0)</f>
        <v>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IFERROR(__xludf.DUMMYFUNCTION("IMPORTRANGE(""https://docs.google.com/spreadsheets/d/1eHaY18a8A9IcSdp1K8H6x8fbOy06t2VsZHhMHf-1x7Y/edit?usp=sharing"",""แผน!GC75"")"),12)</f>
        <v>12</v>
      </c>
      <c r="J742" s="795">
        <v>0</v>
      </c>
      <c r="K742" s="352">
        <f ca="1">IF(I742&gt;0,J742*100/I742,0)</f>
        <v>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IFERROR(__xludf.DUMMYFUNCTION("IMPORTRANGE(""https://docs.google.com/spreadsheets/d/1eHaY18a8A9IcSdp1K8H6x8fbOy06t2VsZHhMHf-1x7Y/edit?usp=sharing"",""แผน!GD75"")"),30)</f>
        <v>30</v>
      </c>
      <c r="J744" s="795">
        <v>0</v>
      </c>
      <c r="K744" s="352">
        <f ca="1">IF(I744&gt;0,J744*100/I744,0)</f>
        <v>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IFERROR(__xludf.DUMMYFUNCTION("IMPORTRANGE(""https://docs.google.com/spreadsheets/d/1eHaY18a8A9IcSdp1K8H6x8fbOy06t2VsZHhMHf-1x7Y/edit?usp=sharing"",""แผน!GE75"")"),3)</f>
        <v>3</v>
      </c>
      <c r="J746" s="795">
        <v>0</v>
      </c>
      <c r="K746" s="352">
        <f ca="1">IF(I746&gt;0,J746*100/I746,0)</f>
        <v>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IFERROR(__xludf.DUMMYFUNCTION("IMPORTRANGE(""https://docs.google.com/spreadsheets/d/1eHaY18a8A9IcSdp1K8H6x8fbOy06t2VsZHhMHf-1x7Y/edit?usp=sharing"",""แผน!GF75"")"),1)</f>
        <v>1</v>
      </c>
      <c r="J749" s="795">
        <v>0</v>
      </c>
      <c r="K749" s="352">
        <f ca="1">IF(I749&gt;0,J749*100/I749,0)</f>
        <v>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IFERROR(__xludf.DUMMYFUNCTION("IMPORTRANGE(""https://docs.google.com/spreadsheets/d/1eHaY18a8A9IcSdp1K8H6x8fbOy06t2VsZHhMHf-1x7Y/edit?usp=sharing"",""แผน!GB75"")"),120)</f>
        <v>120</v>
      </c>
      <c r="J752" s="795">
        <v>0</v>
      </c>
      <c r="K752" s="352">
        <f ca="1">IF(I752&gt;0,J752*100/I752,0)</f>
        <v>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IFERROR(__xludf.DUMMYFUNCTION("IMPORTRANGE(""https://docs.google.com/spreadsheets/d/1eHaY18a8A9IcSdp1K8H6x8fbOy06t2VsZHhMHf-1x7Y/edit?usp=sharing"",""แผน!GD75"")"),30)</f>
        <v>30</v>
      </c>
      <c r="J755" s="795">
        <v>0</v>
      </c>
      <c r="K755" s="352">
        <f ca="1">IF(I755&gt;0,J755*100/I755,0)</f>
        <v>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0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3">I772</f>
        <v>15</v>
      </c>
      <c r="J758" s="504">
        <f t="shared" si="453"/>
        <v>15</v>
      </c>
      <c r="K758" s="505">
        <f t="shared" ref="K758:K759" ca="1" si="454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5">I774</f>
        <v>45</v>
      </c>
      <c r="J759" s="504">
        <f t="shared" si="455"/>
        <v>45</v>
      </c>
      <c r="K759" s="505">
        <f t="shared" ca="1" si="454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6">L761+L762</f>
        <v>0</v>
      </c>
      <c r="M760" s="133">
        <f t="shared" si="456"/>
        <v>0</v>
      </c>
      <c r="N760" s="133">
        <f t="shared" si="456"/>
        <v>0</v>
      </c>
      <c r="O760" s="133">
        <f t="shared" ref="O760:O768" si="457">IF(L760&gt;0,N760*100/L760,0)</f>
        <v>0</v>
      </c>
      <c r="P760" s="133">
        <f t="shared" ref="P760:P768" si="458">IF(M760&gt;0,N760*100/M760,0)</f>
        <v>0</v>
      </c>
      <c r="Q760" s="133">
        <f t="shared" ref="Q760:S760" ca="1" si="459">Q761+Q762</f>
        <v>134510</v>
      </c>
      <c r="R760" s="133">
        <f t="shared" ca="1" si="459"/>
        <v>134510</v>
      </c>
      <c r="S760" s="133">
        <f t="shared" ca="1" si="459"/>
        <v>134510</v>
      </c>
      <c r="T760" s="133">
        <f t="shared" ref="T760:T768" ca="1" si="460">IF(Q760&gt;0,S760*100/Q760,0)</f>
        <v>100</v>
      </c>
      <c r="U760" s="133">
        <f t="shared" ref="U760:U768" ca="1" si="461">IF(R760&gt;0,S760*100/R760,0)</f>
        <v>100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2">L764+L767</f>
        <v>0</v>
      </c>
      <c r="M761" s="49">
        <f t="shared" si="462"/>
        <v>0</v>
      </c>
      <c r="N761" s="49">
        <f t="shared" si="462"/>
        <v>0</v>
      </c>
      <c r="O761" s="49">
        <f t="shared" si="457"/>
        <v>0</v>
      </c>
      <c r="P761" s="49">
        <f t="shared" si="458"/>
        <v>0</v>
      </c>
      <c r="Q761" s="49">
        <f t="shared" ref="Q761:S762" si="463">Q764+Q767</f>
        <v>0</v>
      </c>
      <c r="R761" s="49">
        <f t="shared" si="463"/>
        <v>0</v>
      </c>
      <c r="S761" s="49">
        <f t="shared" si="463"/>
        <v>0</v>
      </c>
      <c r="T761" s="49">
        <f t="shared" si="460"/>
        <v>0</v>
      </c>
      <c r="U761" s="49">
        <f t="shared" si="461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2"/>
        <v>0</v>
      </c>
      <c r="M762" s="47">
        <f t="shared" si="462"/>
        <v>0</v>
      </c>
      <c r="N762" s="47">
        <f t="shared" si="462"/>
        <v>0</v>
      </c>
      <c r="O762" s="47">
        <f t="shared" si="457"/>
        <v>0</v>
      </c>
      <c r="P762" s="47">
        <f t="shared" si="458"/>
        <v>0</v>
      </c>
      <c r="Q762" s="47">
        <f t="shared" ca="1" si="463"/>
        <v>134510</v>
      </c>
      <c r="R762" s="47">
        <f t="shared" ca="1" si="463"/>
        <v>134510</v>
      </c>
      <c r="S762" s="47">
        <f t="shared" ca="1" si="463"/>
        <v>134510</v>
      </c>
      <c r="T762" s="47">
        <f t="shared" ca="1" si="460"/>
        <v>100</v>
      </c>
      <c r="U762" s="47">
        <f t="shared" ca="1" si="461"/>
        <v>100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4">L764+L765</f>
        <v>0</v>
      </c>
      <c r="M763" s="47">
        <f t="shared" si="464"/>
        <v>0</v>
      </c>
      <c r="N763" s="47">
        <f t="shared" si="464"/>
        <v>0</v>
      </c>
      <c r="O763" s="47">
        <f t="shared" si="457"/>
        <v>0</v>
      </c>
      <c r="P763" s="47">
        <f t="shared" si="458"/>
        <v>0</v>
      </c>
      <c r="Q763" s="47">
        <f t="shared" ref="Q763:S763" ca="1" si="465">Q764+Q765</f>
        <v>134510</v>
      </c>
      <c r="R763" s="47">
        <f t="shared" ca="1" si="465"/>
        <v>134510</v>
      </c>
      <c r="S763" s="47">
        <f t="shared" ca="1" si="465"/>
        <v>134510</v>
      </c>
      <c r="T763" s="47">
        <f t="shared" ca="1" si="460"/>
        <v>100</v>
      </c>
      <c r="U763" s="47">
        <f t="shared" ca="1" si="461"/>
        <v>100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7"/>
        <v>0</v>
      </c>
      <c r="P764" s="49">
        <f t="shared" si="458"/>
        <v>0</v>
      </c>
      <c r="Q764" s="49">
        <v>0</v>
      </c>
      <c r="R764" s="49">
        <v>0</v>
      </c>
      <c r="S764" s="49">
        <v>0</v>
      </c>
      <c r="T764" s="49">
        <f t="shared" si="460"/>
        <v>0</v>
      </c>
      <c r="U764" s="49">
        <f t="shared" si="461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7"/>
        <v>0</v>
      </c>
      <c r="P765" s="47">
        <f t="shared" si="458"/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IFERROR(__xludf.DUMMYFUNCTION("IMPORTRANGE(""https://docs.google.com/spreadsheets/d/1ItG2mGa2ceCfYo0BwxsXqNm01IGEUdYcSSLTEv9YCik/edit?usp=sharing"",""เบิกจ่ายกองทุน!AC75"")"),134510)</f>
        <v>134510</v>
      </c>
      <c r="T765" s="47">
        <f t="shared" ca="1" si="460"/>
        <v>100</v>
      </c>
      <c r="U765" s="47">
        <f t="shared" ca="1" si="461"/>
        <v>100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6">L767+L768</f>
        <v>0</v>
      </c>
      <c r="M766" s="47">
        <f t="shared" si="466"/>
        <v>0</v>
      </c>
      <c r="N766" s="47">
        <f t="shared" si="466"/>
        <v>0</v>
      </c>
      <c r="O766" s="47">
        <f t="shared" si="457"/>
        <v>0</v>
      </c>
      <c r="P766" s="47">
        <f t="shared" si="458"/>
        <v>0</v>
      </c>
      <c r="Q766" s="47">
        <f t="shared" ref="Q766:S766" si="467">Q767+Q768</f>
        <v>0</v>
      </c>
      <c r="R766" s="47">
        <f t="shared" si="467"/>
        <v>0</v>
      </c>
      <c r="S766" s="47">
        <f t="shared" si="467"/>
        <v>0</v>
      </c>
      <c r="T766" s="47">
        <f t="shared" si="460"/>
        <v>0</v>
      </c>
      <c r="U766" s="47">
        <f t="shared" si="461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7"/>
        <v>0</v>
      </c>
      <c r="P767" s="49">
        <f t="shared" si="458"/>
        <v>0</v>
      </c>
      <c r="Q767" s="49">
        <v>0</v>
      </c>
      <c r="R767" s="49">
        <v>0</v>
      </c>
      <c r="S767" s="49">
        <v>0</v>
      </c>
      <c r="T767" s="49">
        <f t="shared" si="460"/>
        <v>0</v>
      </c>
      <c r="U767" s="49">
        <f t="shared" si="461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7"/>
        <v>0</v>
      </c>
      <c r="P768" s="47">
        <f t="shared" si="458"/>
        <v>0</v>
      </c>
      <c r="Q768" s="47">
        <v>0</v>
      </c>
      <c r="R768" s="47">
        <v>0</v>
      </c>
      <c r="S768" s="47">
        <v>0</v>
      </c>
      <c r="T768" s="47">
        <f t="shared" si="460"/>
        <v>0</v>
      </c>
      <c r="U768" s="47">
        <f t="shared" si="461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IFERROR(__xludf.DUMMYFUNCTION("IMPORTRANGE(""https://docs.google.com/spreadsheets/d/1eHaY18a8A9IcSdp1K8H6x8fbOy06t2VsZHhMHf-1x7Y/edit?usp=sharing"",""แผน!FI75"")"),1)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IFERROR(__xludf.DUMMYFUNCTION("IMPORTRANGE(""https://docs.google.com/spreadsheets/d/1eHaY18a8A9IcSdp1K8H6x8fbOy06t2VsZHhMHf-1x7Y/edit?usp=sharing"",""แผน!FQ75"")"),15)</f>
        <v>15</v>
      </c>
      <c r="J772" s="169">
        <v>15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IFERROR(__xludf.DUMMYFUNCTION("IMPORTRANGE(""https://docs.google.com/spreadsheets/d/1eHaY18a8A9IcSdp1K8H6x8fbOy06t2VsZHhMHf-1x7Y/edit?usp=sharing"",""แผน!FR75"")"),45)</f>
        <v>45</v>
      </c>
      <c r="J774" s="169">
        <v>45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IFERROR(__xludf.DUMMYFUNCTION("IMPORTRANGE(""https://docs.google.com/spreadsheets/d/1eHaY18a8A9IcSdp1K8H6x8fbOy06t2VsZHhMHf-1x7Y/edit?usp=sharing"",""แผน!FS75"")"),45)</f>
        <v>45</v>
      </c>
      <c r="J775" s="169">
        <v>45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IFERROR(__xludf.DUMMYFUNCTION("IMPORTRANGE(""https://docs.google.com/spreadsheets/d/1eHaY18a8A9IcSdp1K8H6x8fbOy06t2VsZHhMHf-1x7Y/edit?usp=sharing"",""แผน!FT75"")"),15)</f>
        <v>15</v>
      </c>
      <c r="J776" s="378">
        <v>15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372">
        <f ca="1">IFERROR(__xludf.DUMMYFUNCTION("IMPORTRANGE(""https://docs.google.com/spreadsheets/d/10OvvATaaLtwErnr3qtWFcTmtbfpFEt5Bsqel9sXx0uE/edit?usp=sharing"",""งานกองทุน!F75"")"),348167.91)</f>
        <v>348167.91</v>
      </c>
      <c r="K778" s="47">
        <f t="shared" ref="K778:K785" ca="1" si="468">IF(I778&gt;0,J778*100/I778,0)</f>
        <v>175.27739247374484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IFERROR(__xludf.DUMMYFUNCTION("IMPORTRANGE(""https://docs.google.com/spreadsheets/d/10OvvATaaLtwErnr3qtWFcTmtbfpFEt5Bsqel9sXx0uE/edit?usp=sharing"",""งานกองทุน!C75"")"),18)</f>
        <v>18</v>
      </c>
      <c r="J779" s="372">
        <f ca="1">IFERROR(__xludf.DUMMYFUNCTION("IMPORTRANGE(""https://docs.google.com/spreadsheets/d/10OvvATaaLtwErnr3qtWFcTmtbfpFEt5Bsqel9sXx0uE/edit?usp=sharing"",""งานกองทุน!E75"")"),31)</f>
        <v>31</v>
      </c>
      <c r="K779" s="47">
        <f t="shared" ca="1" si="468"/>
        <v>172.22222222222223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372">
        <f ca="1">IFERROR(__xludf.DUMMYFUNCTION("IMPORTRANGE(""https://docs.google.com/spreadsheets/d/10OvvATaaLtwErnr3qtWFcTmtbfpFEt5Bsqel9sXx0uE/edit?usp=sharing"",""งานกองทุน!K75"")"),1075818.24)</f>
        <v>1075818.24</v>
      </c>
      <c r="K780" s="47">
        <f t="shared" ca="1" si="468"/>
        <v>39.603638428165823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IFERROR(__xludf.DUMMYFUNCTION("IMPORTRANGE(""https://docs.google.com/spreadsheets/d/10OvvATaaLtwErnr3qtWFcTmtbfpFEt5Bsqel9sXx0uE/edit?usp=sharing"",""งานกองทุน!H75"")"),90)</f>
        <v>90</v>
      </c>
      <c r="J781" s="372">
        <f ca="1">IFERROR(__xludf.DUMMYFUNCTION("IMPORTRANGE(""https://docs.google.com/spreadsheets/d/10OvvATaaLtwErnr3qtWFcTmtbfpFEt5Bsqel9sXx0uE/edit?usp=sharing"",""งานกองทุน!J75"")"),76)</f>
        <v>76</v>
      </c>
      <c r="K781" s="47">
        <f t="shared" ca="1" si="468"/>
        <v>84.444444444444443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IFERROR(__xludf.DUMMYFUNCTION("IMPORTRANGE(""https://docs.google.com/spreadsheets/d/10OvvATaaLtwErnr3qtWFcTmtbfpFEt5Bsqel9sXx0uE/edit?usp=sharing"",""งานกองทุน!N75"")"),0)</f>
        <v>0</v>
      </c>
      <c r="J782" s="372">
        <f ca="1">IFERROR(__xludf.DUMMYFUNCTION("IMPORTRANGE(""https://docs.google.com/spreadsheets/d/10OvvATaaLtwErnr3qtWFcTmtbfpFEt5Bsqel9sXx0uE/edit?usp=sharing"",""งานกองทุน!P75"")"),14234.64)</f>
        <v>14234.64</v>
      </c>
      <c r="K782" s="47">
        <f t="shared" ca="1" si="468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IFERROR(__xludf.DUMMYFUNCTION("IMPORTRANGE(""https://docs.google.com/spreadsheets/d/10OvvATaaLtwErnr3qtWFcTmtbfpFEt5Bsqel9sXx0uE/edit?usp=sharing"",""งานกองทุน!M75"")"),0)</f>
        <v>0</v>
      </c>
      <c r="J783" s="372">
        <f ca="1">IFERROR(__xludf.DUMMYFUNCTION("IMPORTRANGE(""https://docs.google.com/spreadsheets/d/10OvvATaaLtwErnr3qtWFcTmtbfpFEt5Bsqel9sXx0uE/edit?usp=sharing"",""งานกองทุน!O75"")"),3)</f>
        <v>3</v>
      </c>
      <c r="K783" s="47">
        <f t="shared" ca="1" si="468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IFERROR(__xludf.DUMMYFUNCTION("IMPORTRANGE(""https://docs.google.com/spreadsheets/d/10OvvATaaLtwErnr3qtWFcTmtbfpFEt5Bsqel9sXx0uE/edit?usp=sharing"",""งานกองทุน!S75"")"),1120000)</f>
        <v>1120000</v>
      </c>
      <c r="J784" s="372">
        <f ca="1">IFERROR(__xludf.DUMMYFUNCTION("IMPORTRANGE(""https://docs.google.com/spreadsheets/d/10OvvATaaLtwErnr3qtWFcTmtbfpFEt5Bsqel9sXx0uE/edit?usp=sharing"",""งานกองทุน!U75"")"),600000)</f>
        <v>600000</v>
      </c>
      <c r="K784" s="47">
        <f t="shared" ca="1" si="468"/>
        <v>53.571428571428569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IFERROR(__xludf.DUMMYFUNCTION("IMPORTRANGE(""https://docs.google.com/spreadsheets/d/10OvvATaaLtwErnr3qtWFcTmtbfpFEt5Bsqel9sXx0uE/edit?usp=sharing"",""งานกองทุน!R75"")"),40)</f>
        <v>40</v>
      </c>
      <c r="J785" s="205">
        <f ca="1">IFERROR(__xludf.DUMMYFUNCTION("IMPORTRANGE(""https://docs.google.com/spreadsheets/d/10OvvATaaLtwErnr3qtWFcTmtbfpFEt5Bsqel9sXx0uE/edit?usp=sharing"",""งานกองทุน!T75"")"),12)</f>
        <v>12</v>
      </c>
      <c r="K785" s="111">
        <f t="shared" ca="1" si="468"/>
        <v>30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G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0" fitToHeight="0" orientation="landscape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60E4-CC7E-41CD-A2CC-2D251EC0B53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320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7790152</v>
      </c>
      <c r="M18" s="35">
        <f t="shared" ca="1" si="0"/>
        <v>8217606</v>
      </c>
      <c r="N18" s="35">
        <f t="shared" ca="1" si="0"/>
        <v>7643378.9800000004</v>
      </c>
      <c r="O18" s="35">
        <f t="shared" ref="O18:O26" ca="1" si="1">IF(L18&gt;0,N18*100/L18,0)</f>
        <v>98.115915838355917</v>
      </c>
      <c r="P18" s="35">
        <f t="shared" ref="P18:P26" ca="1" si="2">IF(M18&gt;0,N18*100/M18,0)</f>
        <v>93.012234706799035</v>
      </c>
      <c r="Q18" s="35">
        <f t="shared" ref="Q18:S18" ca="1" si="3">Q19+Q20</f>
        <v>2651677.39</v>
      </c>
      <c r="R18" s="35">
        <f t="shared" ca="1" si="3"/>
        <v>2468217</v>
      </c>
      <c r="S18" s="35">
        <f t="shared" ca="1" si="3"/>
        <v>2185287.09</v>
      </c>
      <c r="T18" s="35">
        <f t="shared" ref="T18:T26" ca="1" si="4">IF(Q18&gt;0,S18*100/Q18,0)</f>
        <v>82.411499160537019</v>
      </c>
      <c r="U18" s="35">
        <f t="shared" ref="U18:U26" ca="1" si="5">IF(R18&gt;0,S18*100/R18,0)</f>
        <v>88.537073117963288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7790152</v>
      </c>
      <c r="M20" s="39">
        <f t="shared" ca="1" si="6"/>
        <v>8217606</v>
      </c>
      <c r="N20" s="39">
        <f t="shared" ca="1" si="6"/>
        <v>7643378.9800000004</v>
      </c>
      <c r="O20" s="39">
        <f t="shared" ca="1" si="1"/>
        <v>98.115915838355917</v>
      </c>
      <c r="P20" s="39">
        <f t="shared" ca="1" si="2"/>
        <v>93.012234706799035</v>
      </c>
      <c r="Q20" s="39">
        <f t="shared" ca="1" si="7"/>
        <v>2651677.39</v>
      </c>
      <c r="R20" s="39">
        <f t="shared" ca="1" si="7"/>
        <v>2468217</v>
      </c>
      <c r="S20" s="39">
        <f t="shared" ca="1" si="7"/>
        <v>2185287.09</v>
      </c>
      <c r="T20" s="39">
        <f t="shared" ca="1" si="4"/>
        <v>82.411499160537019</v>
      </c>
      <c r="U20" s="39">
        <f t="shared" ca="1" si="5"/>
        <v>88.537073117963288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3273252</v>
      </c>
      <c r="M21" s="47">
        <f t="shared" ca="1" si="8"/>
        <v>3913906</v>
      </c>
      <c r="N21" s="47">
        <f t="shared" ca="1" si="8"/>
        <v>3510656.96</v>
      </c>
      <c r="O21" s="47">
        <f t="shared" ca="1" si="1"/>
        <v>107.25287756640796</v>
      </c>
      <c r="P21" s="47">
        <f t="shared" ca="1" si="2"/>
        <v>89.697017761796019</v>
      </c>
      <c r="Q21" s="47">
        <f t="shared" ref="Q21:S21" ca="1" si="9">Q22+Q23</f>
        <v>2651677.39</v>
      </c>
      <c r="R21" s="47">
        <f t="shared" ca="1" si="9"/>
        <v>2468217</v>
      </c>
      <c r="S21" s="47">
        <f t="shared" ca="1" si="9"/>
        <v>2185287.09</v>
      </c>
      <c r="T21" s="47">
        <f t="shared" ca="1" si="4"/>
        <v>82.411499160537019</v>
      </c>
      <c r="U21" s="47">
        <f t="shared" ca="1" si="5"/>
        <v>88.537073117963288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3273252</v>
      </c>
      <c r="M23" s="47">
        <f t="shared" ca="1" si="12"/>
        <v>3913906</v>
      </c>
      <c r="N23" s="47">
        <f t="shared" ca="1" si="12"/>
        <v>3510656.96</v>
      </c>
      <c r="O23" s="47">
        <f t="shared" ca="1" si="1"/>
        <v>107.25287756640796</v>
      </c>
      <c r="P23" s="47">
        <f t="shared" ca="1" si="2"/>
        <v>89.697017761796019</v>
      </c>
      <c r="Q23" s="47">
        <f t="shared" ca="1" si="11"/>
        <v>2651677.39</v>
      </c>
      <c r="R23" s="47">
        <f t="shared" ca="1" si="11"/>
        <v>2468217</v>
      </c>
      <c r="S23" s="47">
        <f t="shared" ca="1" si="11"/>
        <v>2185287.09</v>
      </c>
      <c r="T23" s="47">
        <f t="shared" ca="1" si="4"/>
        <v>82.411499160537019</v>
      </c>
      <c r="U23" s="47">
        <f t="shared" ca="1" si="5"/>
        <v>88.537073117963288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4516900</v>
      </c>
      <c r="M24" s="47">
        <f t="shared" ca="1" si="13"/>
        <v>4303700</v>
      </c>
      <c r="N24" s="47">
        <f t="shared" ca="1" si="13"/>
        <v>4132722.02</v>
      </c>
      <c r="O24" s="47">
        <f t="shared" ca="1" si="1"/>
        <v>91.494653855520383</v>
      </c>
      <c r="P24" s="47">
        <f t="shared" ca="1" si="2"/>
        <v>96.027186374514955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4516900</v>
      </c>
      <c r="M26" s="47">
        <f t="shared" ca="1" si="17"/>
        <v>4303700</v>
      </c>
      <c r="N26" s="47">
        <f t="shared" ca="1" si="17"/>
        <v>4132722.02</v>
      </c>
      <c r="O26" s="47">
        <f t="shared" ca="1" si="1"/>
        <v>91.494653855520383</v>
      </c>
      <c r="P26" s="47">
        <f t="shared" ca="1" si="2"/>
        <v>96.027186374514955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7220992</v>
      </c>
      <c r="M40" s="594">
        <f t="shared" ca="1" si="18"/>
        <v>7398446</v>
      </c>
      <c r="N40" s="594">
        <f t="shared" ca="1" si="18"/>
        <v>6915565.7300000004</v>
      </c>
      <c r="O40" s="594">
        <f ca="1">IF(L40&gt;0,N40*100/L40,0)</f>
        <v>95.770300396399833</v>
      </c>
      <c r="P40" s="594">
        <f ca="1">IF(M40&gt;0,N40*100/M40,0)</f>
        <v>93.473220322213606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616032</v>
      </c>
      <c r="M44" s="79">
        <f t="shared" ca="1" si="19"/>
        <v>739966</v>
      </c>
      <c r="N44" s="79">
        <f t="shared" ca="1" si="19"/>
        <v>682326</v>
      </c>
      <c r="O44" s="79">
        <f t="shared" ref="O44:O52" ca="1" si="20">IF(L44&gt;0,N44*100/L44,0)</f>
        <v>110.76145395044414</v>
      </c>
      <c r="P44" s="79">
        <f t="shared" ref="P44:P52" ca="1" si="21">IF(M44&gt;0,N44*100/M44,0)</f>
        <v>92.210452912701399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616032</v>
      </c>
      <c r="M46" s="83">
        <f t="shared" ca="1" si="25"/>
        <v>739966</v>
      </c>
      <c r="N46" s="83">
        <f t="shared" ca="1" si="25"/>
        <v>682326</v>
      </c>
      <c r="O46" s="83">
        <f t="shared" ca="1" si="20"/>
        <v>110.76145395044414</v>
      </c>
      <c r="P46" s="83">
        <f t="shared" ca="1" si="21"/>
        <v>92.210452912701399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616032</v>
      </c>
      <c r="M47" s="47">
        <f t="shared" ca="1" si="27"/>
        <v>739966</v>
      </c>
      <c r="N47" s="47">
        <f t="shared" ca="1" si="27"/>
        <v>682326</v>
      </c>
      <c r="O47" s="47">
        <f t="shared" ca="1" si="20"/>
        <v>110.76145395044414</v>
      </c>
      <c r="P47" s="47">
        <f t="shared" ca="1" si="21"/>
        <v>92.210452912701399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IFERROR(__xludf.DUMMYFUNCTION("IMPORTRANGE(""https://docs.google.com/spreadsheets/d/1-uDff_7J0KD5mKrp0Vvzr7lt3OU09vwQwhkpOPPYv2Y/edit?usp=sharing"",""งบพรบ!V76"")"),739966)</f>
        <v>739966</v>
      </c>
      <c r="N49" s="47">
        <f ca="1">IFERROR(__xludf.DUMMYFUNCTION("IMPORTRANGE(""https://docs.google.com/spreadsheets/d/1-uDff_7J0KD5mKrp0Vvzr7lt3OU09vwQwhkpOPPYv2Y/edit?usp=sharing"",""งบพรบ!Y76"")"),682326)</f>
        <v>682326</v>
      </c>
      <c r="O49" s="47">
        <f t="shared" ca="1" si="20"/>
        <v>110.76145395044414</v>
      </c>
      <c r="P49" s="47">
        <f t="shared" ca="1" si="21"/>
        <v>92.210452912701399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724700</v>
      </c>
      <c r="M59" s="106">
        <f t="shared" ca="1" si="31"/>
        <v>811930</v>
      </c>
      <c r="N59" s="106">
        <f t="shared" ca="1" si="31"/>
        <v>799996.88</v>
      </c>
      <c r="O59" s="106">
        <f t="shared" ref="O59:O67" ca="1" si="32">IF(L59&gt;0,N59*100/L59,0)</f>
        <v>110.39007589347317</v>
      </c>
      <c r="P59" s="106">
        <f t="shared" ref="P59:P67" ca="1" si="33">IF(M59&gt;0,N59*100/M59,0)</f>
        <v>98.530277240648829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724700</v>
      </c>
      <c r="M61" s="109">
        <f t="shared" ca="1" si="37"/>
        <v>811930</v>
      </c>
      <c r="N61" s="109">
        <f t="shared" ca="1" si="37"/>
        <v>799996.88</v>
      </c>
      <c r="O61" s="109">
        <f t="shared" ca="1" si="32"/>
        <v>110.39007589347317</v>
      </c>
      <c r="P61" s="109">
        <f t="shared" ca="1" si="33"/>
        <v>98.530277240648829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694800</v>
      </c>
      <c r="M62" s="47">
        <f t="shared" ca="1" si="39"/>
        <v>782030</v>
      </c>
      <c r="N62" s="47">
        <f t="shared" ca="1" si="39"/>
        <v>770096.88</v>
      </c>
      <c r="O62" s="47">
        <f t="shared" ca="1" si="32"/>
        <v>110.83720207253886</v>
      </c>
      <c r="P62" s="47">
        <f t="shared" ca="1" si="33"/>
        <v>98.474084114420165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IFERROR(__xludf.DUMMYFUNCTION("IMPORTRANGE(""https://docs.google.com/spreadsheets/d/1-uDff_7J0KD5mKrp0Vvzr7lt3OU09vwQwhkpOPPYv2Y/edit?usp=sharing"",""งบพรบ!AH76"")"),782030)</f>
        <v>782030</v>
      </c>
      <c r="N64" s="47">
        <f ca="1">IFERROR(__xludf.DUMMYFUNCTION("IMPORTRANGE(""https://docs.google.com/spreadsheets/d/1-uDff_7J0KD5mKrp0Vvzr7lt3OU09vwQwhkpOPPYv2Y/edit?usp=sharing"",""งบพรบ!AJ76"")"),770096.88)</f>
        <v>770096.88</v>
      </c>
      <c r="O64" s="47">
        <f t="shared" ca="1" si="32"/>
        <v>110.83720207253886</v>
      </c>
      <c r="P64" s="47">
        <f t="shared" ca="1" si="33"/>
        <v>98.474084114420165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29900</v>
      </c>
      <c r="M65" s="47">
        <f t="shared" ca="1" si="41"/>
        <v>29900</v>
      </c>
      <c r="N65" s="47">
        <f t="shared" ca="1" si="41"/>
        <v>29900</v>
      </c>
      <c r="O65" s="47">
        <f t="shared" ca="1" si="32"/>
        <v>100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IFERROR(__xludf.DUMMYFUNCTION("IMPORTRANGE(""https://docs.google.com/spreadsheets/d/1-uDff_7J0KD5mKrp0Vvzr7lt3OU09vwQwhkpOPPYv2Y/edit?usp=sharing"",""งบพรบ!AK76"")"),29900)</f>
        <v>29900</v>
      </c>
      <c r="O67" s="111">
        <f t="shared" ca="1" si="32"/>
        <v>100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1</v>
      </c>
      <c r="J70" s="128">
        <f t="shared" si="43"/>
        <v>1</v>
      </c>
      <c r="K70" s="35">
        <f t="shared" ref="K70:K71" ca="1" si="44">IF(I70&gt;0,J70*100/I70,0)</f>
        <v>100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30</v>
      </c>
      <c r="J71" s="128">
        <f t="shared" si="43"/>
        <v>30</v>
      </c>
      <c r="K71" s="35">
        <f t="shared" ca="1" si="44"/>
        <v>100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9"/>
      <c r="B72" s="200"/>
      <c r="C72" s="40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142000</v>
      </c>
      <c r="M72" s="133">
        <f t="shared" ca="1" si="45"/>
        <v>142000</v>
      </c>
      <c r="N72" s="133">
        <f t="shared" ca="1" si="45"/>
        <v>125835</v>
      </c>
      <c r="O72" s="133">
        <f t="shared" ref="O72:O80" ca="1" si="46">IF(L72&gt;0,N72*100/L72,0)</f>
        <v>88.616197183098592</v>
      </c>
      <c r="P72" s="133">
        <f t="shared" ref="P72:P80" ca="1" si="47">IF(M72&gt;0,N72*100/M72,0)</f>
        <v>88.616197183098592</v>
      </c>
      <c r="Q72" s="133">
        <f t="shared" ref="Q72:S72" ca="1" si="48">Q73+Q74</f>
        <v>388700</v>
      </c>
      <c r="R72" s="133">
        <f t="shared" ca="1" si="48"/>
        <v>264380</v>
      </c>
      <c r="S72" s="133">
        <f t="shared" ca="1" si="48"/>
        <v>264380</v>
      </c>
      <c r="T72" s="133">
        <f t="shared" ref="T72:T80" ca="1" si="49">IF(Q72&gt;0,S72*100/Q72,0)</f>
        <v>68.016465140210954</v>
      </c>
      <c r="U72" s="133">
        <f t="shared" ref="U72:U80" ca="1" si="50">IF(R72&gt;0,S72*100/R72,0)</f>
        <v>100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142000</v>
      </c>
      <c r="M74" s="47">
        <f t="shared" ca="1" si="51"/>
        <v>142000</v>
      </c>
      <c r="N74" s="47">
        <f t="shared" ca="1" si="51"/>
        <v>125835</v>
      </c>
      <c r="O74" s="47">
        <f t="shared" ca="1" si="46"/>
        <v>88.616197183098592</v>
      </c>
      <c r="P74" s="47">
        <f t="shared" ca="1" si="47"/>
        <v>88.616197183098592</v>
      </c>
      <c r="Q74" s="47">
        <f t="shared" ca="1" si="52"/>
        <v>388700</v>
      </c>
      <c r="R74" s="47">
        <f t="shared" ca="1" si="52"/>
        <v>264380</v>
      </c>
      <c r="S74" s="47">
        <f t="shared" ca="1" si="52"/>
        <v>264380</v>
      </c>
      <c r="T74" s="47">
        <f t="shared" ca="1" si="49"/>
        <v>68.016465140210954</v>
      </c>
      <c r="U74" s="47">
        <f t="shared" ca="1" si="50"/>
        <v>100</v>
      </c>
    </row>
    <row r="75" spans="1:21" ht="18.75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142000</v>
      </c>
      <c r="M75" s="47">
        <f t="shared" ca="1" si="53"/>
        <v>142000</v>
      </c>
      <c r="N75" s="47">
        <f t="shared" ca="1" si="53"/>
        <v>125835</v>
      </c>
      <c r="O75" s="47">
        <f t="shared" ca="1" si="46"/>
        <v>88.616197183098592</v>
      </c>
      <c r="P75" s="47">
        <f t="shared" ca="1" si="47"/>
        <v>88.616197183098592</v>
      </c>
      <c r="Q75" s="47">
        <f t="shared" ref="Q75:S75" ca="1" si="54">Q76+Q77</f>
        <v>388700</v>
      </c>
      <c r="R75" s="47">
        <f t="shared" ca="1" si="54"/>
        <v>264380</v>
      </c>
      <c r="S75" s="47">
        <f t="shared" ca="1" si="54"/>
        <v>264380</v>
      </c>
      <c r="T75" s="47">
        <f t="shared" ca="1" si="49"/>
        <v>68.016465140210954</v>
      </c>
      <c r="U75" s="47">
        <f t="shared" ca="1" si="50"/>
        <v>100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IFERROR(__xludf.DUMMYFUNCTION("IMPORTRANGE(""https://docs.google.com/spreadsheets/d/1-uDff_7J0KD5mKrp0Vvzr7lt3OU09vwQwhkpOPPYv2Y/edit?usp=sharing"",""งบพรบ!AM76"")"),142000)</f>
        <v>142000</v>
      </c>
      <c r="M77" s="47">
        <f ca="1">IFERROR(__xludf.DUMMYFUNCTION("IMPORTRANGE(""https://docs.google.com/spreadsheets/d/1-uDff_7J0KD5mKrp0Vvzr7lt3OU09vwQwhkpOPPYv2Y/edit?usp=sharing"",""งบพรบ!AR76"")"),142000)</f>
        <v>142000</v>
      </c>
      <c r="N77" s="47">
        <f ca="1">IFERROR(__xludf.DUMMYFUNCTION("IMPORTRANGE(""https://docs.google.com/spreadsheets/d/1-uDff_7J0KD5mKrp0Vvzr7lt3OU09vwQwhkpOPPYv2Y/edit?usp=sharing"",""งบพรบ!AT76"")"),125835)</f>
        <v>125835</v>
      </c>
      <c r="O77" s="47">
        <f t="shared" ca="1" si="46"/>
        <v>88.616197183098592</v>
      </c>
      <c r="P77" s="47">
        <f t="shared" ca="1" si="47"/>
        <v>88.616197183098592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IFERROR(__xludf.DUMMYFUNCTION("IMPORTRANGE(""https://docs.google.com/spreadsheets/d/1ItG2mGa2ceCfYo0BwxsXqNm01IGEUdYcSSLTEv9YCik/edit?usp=sharing"",""เบิกจ่ายกองทุน!BI76"")"),264380)</f>
        <v>264380</v>
      </c>
      <c r="S77" s="47">
        <f ca="1">IFERROR(__xludf.DUMMYFUNCTION("IMPORTRANGE(""https://docs.google.com/spreadsheets/d/1ItG2mGa2ceCfYo0BwxsXqNm01IGEUdYcSSLTEv9YCik/edit?usp=sharing"",""เบิกจ่ายกองทุน!BJ76"")"),264380)</f>
        <v>264380</v>
      </c>
      <c r="T77" s="47">
        <f t="shared" ca="1" si="49"/>
        <v>68.016465140210954</v>
      </c>
      <c r="U77" s="47">
        <f t="shared" ca="1" si="50"/>
        <v>100</v>
      </c>
    </row>
    <row r="78" spans="1:21" ht="18.75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t="shared" ca="1" si="49"/>
        <v>0</v>
      </c>
      <c r="U80" s="47">
        <f t="shared" ca="1" si="50"/>
        <v>0</v>
      </c>
    </row>
    <row r="81" spans="1:21" ht="19.5" x14ac:dyDescent="0.3">
      <c r="A81" s="139"/>
      <c r="B81" s="140"/>
      <c r="C81" s="40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1</v>
      </c>
      <c r="J82" s="371">
        <f t="shared" si="57"/>
        <v>1</v>
      </c>
      <c r="K82" s="149">
        <f t="shared" ref="K82:K90" ca="1" si="58">IF(I82&gt;0,J82*100/I82,0)</f>
        <v>100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30</v>
      </c>
      <c r="J83" s="371">
        <f t="shared" si="57"/>
        <v>30</v>
      </c>
      <c r="K83" s="149">
        <f t="shared" ca="1" si="58"/>
        <v>100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IFERROR(__xludf.DUMMYFUNCTION("IMPORTRANGE(""https://docs.google.com/spreadsheets/d/1eHaY18a8A9IcSdp1K8H6x8fbOy06t2VsZHhMHf-1x7Y/edit?usp=sharing"",""แผน!H76"")"),0)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IFERROR(__xludf.DUMMYFUNCTION("IMPORTRANGE(""https://docs.google.com/spreadsheets/d/1eHaY18a8A9IcSdp1K8H6x8fbOy06t2VsZHhMHf-1x7Y/edit?usp=sharing"",""แผน!I76"")"),0)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IFERROR(__xludf.DUMMYFUNCTION("IMPORTRANGE(""https://docs.google.com/spreadsheets/d/1eHaY18a8A9IcSdp1K8H6x8fbOy06t2VsZHhMHf-1x7Y/edit?usp=sharing"",""แผน!F76"")"),1)</f>
        <v>1</v>
      </c>
      <c r="J86" s="169">
        <v>1</v>
      </c>
      <c r="K86" s="154">
        <f t="shared" ca="1" si="58"/>
        <v>100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IFERROR(__xludf.DUMMYFUNCTION("IMPORTRANGE(""https://docs.google.com/spreadsheets/d/1eHaY18a8A9IcSdp1K8H6x8fbOy06t2VsZHhMHf-1x7Y/edit?usp=sharing"",""แผน!G76"")"),30)</f>
        <v>30</v>
      </c>
      <c r="J87" s="169">
        <v>30</v>
      </c>
      <c r="K87" s="154">
        <f t="shared" ca="1" si="58"/>
        <v>100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IFERROR(__xludf.DUMMYFUNCTION("IMPORTRANGE(""https://docs.google.com/spreadsheets/d/1eHaY18a8A9IcSdp1K8H6x8fbOy06t2VsZHhMHf-1x7Y/edit?usp=sharing"",""แผน!D76"")"),0)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IFERROR(__xludf.DUMMYFUNCTION("IMPORTRANGE(""https://docs.google.com/spreadsheets/d/1eHaY18a8A9IcSdp1K8H6x8fbOy06t2VsZHhMHf-1x7Y/edit?usp=sharing"",""แผน!E76"")"),0)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IFERROR(__xludf.DUMMYFUNCTION("IMPORTRANGE(""https://docs.google.com/spreadsheets/d/1eHaY18a8A9IcSdp1K8H6x8fbOy06t2VsZHhMHf-1x7Y/edit?usp=sharing"",""แผน!J76"")"),1)</f>
        <v>1</v>
      </c>
      <c r="J90" s="169">
        <v>1</v>
      </c>
      <c r="K90" s="154">
        <f t="shared" ca="1" si="58"/>
        <v>100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30</v>
      </c>
      <c r="J92" s="128">
        <f t="shared" si="59"/>
        <v>30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10</v>
      </c>
      <c r="J93" s="128">
        <f t="shared" si="59"/>
        <v>10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6000</v>
      </c>
      <c r="M94" s="133">
        <f t="shared" ca="1" si="61"/>
        <v>6000</v>
      </c>
      <c r="N94" s="133">
        <f t="shared" ca="1" si="61"/>
        <v>6000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84420</v>
      </c>
      <c r="R94" s="133">
        <f t="shared" ca="1" si="64"/>
        <v>51380</v>
      </c>
      <c r="S94" s="133">
        <f t="shared" ca="1" si="64"/>
        <v>51380</v>
      </c>
      <c r="T94" s="133">
        <f t="shared" ref="T94:T102" ca="1" si="65">IF(Q94&gt;0,S94*100/Q94,0)</f>
        <v>60.862354892205637</v>
      </c>
      <c r="U94" s="133">
        <f t="shared" ref="U94:U102" ca="1" si="66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6000</v>
      </c>
      <c r="M96" s="47">
        <f t="shared" ca="1" si="67"/>
        <v>6000</v>
      </c>
      <c r="N96" s="47">
        <f t="shared" ca="1" si="67"/>
        <v>6000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84420</v>
      </c>
      <c r="R96" s="47">
        <f t="shared" ca="1" si="68"/>
        <v>51380</v>
      </c>
      <c r="S96" s="47">
        <f t="shared" ca="1" si="68"/>
        <v>51380</v>
      </c>
      <c r="T96" s="47">
        <f t="shared" ca="1" si="65"/>
        <v>60.862354892205637</v>
      </c>
      <c r="U96" s="47">
        <f t="shared" ca="1" si="66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6000</v>
      </c>
      <c r="M97" s="47">
        <f t="shared" ca="1" si="69"/>
        <v>6000</v>
      </c>
      <c r="N97" s="47">
        <f t="shared" ca="1" si="69"/>
        <v>6000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84420</v>
      </c>
      <c r="R97" s="47">
        <f t="shared" ca="1" si="70"/>
        <v>51380</v>
      </c>
      <c r="S97" s="47">
        <f t="shared" ca="1" si="70"/>
        <v>51380</v>
      </c>
      <c r="T97" s="47">
        <f t="shared" ca="1" si="65"/>
        <v>60.862354892205637</v>
      </c>
      <c r="U97" s="47">
        <f t="shared" ca="1" si="66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IFERROR(__xludf.DUMMYFUNCTION("IMPORTRANGE(""https://docs.google.com/spreadsheets/d/1-uDff_7J0KD5mKrp0Vvzr7lt3OU09vwQwhkpOPPYv2Y/edit?usp=sharing"",""งบพรบ!AW76"")"),6000)</f>
        <v>6000</v>
      </c>
      <c r="M99" s="47">
        <f ca="1">IFERROR(__xludf.DUMMYFUNCTION("IMPORTRANGE(""https://docs.google.com/spreadsheets/d/1-uDff_7J0KD5mKrp0Vvzr7lt3OU09vwQwhkpOPPYv2Y/edit?usp=sharing"",""งบพรบ!BB76"")"),6000)</f>
        <v>6000</v>
      </c>
      <c r="N99" s="47">
        <f ca="1">IFERROR(__xludf.DUMMYFUNCTION("IMPORTRANGE(""https://docs.google.com/spreadsheets/d/1-uDff_7J0KD5mKrp0Vvzr7lt3OU09vwQwhkpOPPYv2Y/edit?usp=sharing"",""งบพรบ!BD76"")"),6000)</f>
        <v>6000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IFERROR(__xludf.DUMMYFUNCTION("IMPORTRANGE(""https://docs.google.com/spreadsheets/d/1ItG2mGa2ceCfYo0BwxsXqNm01IGEUdYcSSLTEv9YCik/edit?usp=sharing"",""เบิกจ่ายกองทุน!AK76"")"),51380)</f>
        <v>51380</v>
      </c>
      <c r="S99" s="47">
        <f ca="1">IFERROR(__xludf.DUMMYFUNCTION("IMPORTRANGE(""https://docs.google.com/spreadsheets/d/1ItG2mGa2ceCfYo0BwxsXqNm01IGEUdYcSSLTEv9YCik/edit?usp=sharing"",""เบิกจ่ายกองทุน!AL76"")"),51380)</f>
        <v>51380</v>
      </c>
      <c r="T99" s="47">
        <f t="shared" ca="1" si="65"/>
        <v>60.862354892205637</v>
      </c>
      <c r="U99" s="47">
        <f t="shared" ca="1" si="66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IFERROR(__xludf.DUMMYFUNCTION("IMPORTRANGE(""https://docs.google.com/spreadsheets/d/1eHaY18a8A9IcSdp1K8H6x8fbOy06t2VsZHhMHf-1x7Y/edit?usp=sharing"",""แผน!N76"")"),30)</f>
        <v>30</v>
      </c>
      <c r="J108" s="169">
        <v>30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IFERROR(__xludf.DUMMYFUNCTION("IMPORTRANGE(""https://docs.google.com/spreadsheets/d/1eHaY18a8A9IcSdp1K8H6x8fbOy06t2VsZHhMHf-1x7Y/edit?usp=sharing"",""แผน!O76"")"),10)</f>
        <v>10</v>
      </c>
      <c r="J109" s="169">
        <v>10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IFERROR(__xludf.DUMMYFUNCTION("IMPORTRANGE(""https://docs.google.com/spreadsheets/d/1eHaY18a8A9IcSdp1K8H6x8fbOy06t2VsZHhMHf-1x7Y/edit?usp=sharing"",""แผน!N76"")"),30)</f>
        <v>30</v>
      </c>
      <c r="J113" s="178">
        <v>30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IFERROR(__xludf.DUMMYFUNCTION("IMPORTRANGE(""https://docs.google.com/spreadsheets/d/1eHaY18a8A9IcSdp1K8H6x8fbOy06t2VsZHhMHf-1x7Y/edit?usp=sharing"",""แผน!O76"")"),10)</f>
        <v>10</v>
      </c>
      <c r="J114" s="169">
        <v>10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20</v>
      </c>
      <c r="J116" s="128">
        <f t="shared" si="75"/>
        <v>20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209360</v>
      </c>
      <c r="R117" s="133">
        <f t="shared" ca="1" si="79"/>
        <v>209360</v>
      </c>
      <c r="S117" s="133">
        <f t="shared" ca="1" si="79"/>
        <v>192886</v>
      </c>
      <c r="T117" s="133">
        <f t="shared" ref="T117:T125" ca="1" si="80">IF(Q117&gt;0,S117*100/Q117,0)</f>
        <v>92.1312571646924</v>
      </c>
      <c r="U117" s="133">
        <f t="shared" ref="U117:U125" ca="1" si="81">IF(R117&gt;0,S117*100/R117,0)</f>
        <v>92.1312571646924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209360</v>
      </c>
      <c r="R119" s="47">
        <f t="shared" ca="1" si="83"/>
        <v>209360</v>
      </c>
      <c r="S119" s="47">
        <f t="shared" ca="1" si="83"/>
        <v>192886</v>
      </c>
      <c r="T119" s="47">
        <f t="shared" ca="1" si="80"/>
        <v>92.1312571646924</v>
      </c>
      <c r="U119" s="47">
        <f t="shared" ca="1" si="81"/>
        <v>92.1312571646924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209360</v>
      </c>
      <c r="R120" s="47">
        <f t="shared" ca="1" si="85"/>
        <v>209360</v>
      </c>
      <c r="S120" s="47">
        <f t="shared" ca="1" si="85"/>
        <v>192886</v>
      </c>
      <c r="T120" s="47">
        <f t="shared" ca="1" si="80"/>
        <v>92.1312571646924</v>
      </c>
      <c r="U120" s="47">
        <f t="shared" ca="1" si="81"/>
        <v>92.1312571646924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IFERROR(__xludf.DUMMYFUNCTION("IMPORTRANGE(""https://docs.google.com/spreadsheets/d/1ItG2mGa2ceCfYo0BwxsXqNm01IGEUdYcSSLTEv9YCik/edit?usp=sharing"",""เบิกจ่ายกองทุน!W76"")"),192886)</f>
        <v>192886</v>
      </c>
      <c r="T122" s="47">
        <f t="shared" ca="1" si="80"/>
        <v>92.1312571646924</v>
      </c>
      <c r="U122" s="47">
        <f t="shared" ca="1" si="81"/>
        <v>92.1312571646924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0</v>
      </c>
      <c r="R123" s="47">
        <f t="shared" ca="1" si="87"/>
        <v>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IFERROR(__xludf.DUMMYFUNCTION("IMPORTRANGE(""https://docs.google.com/spreadsheets/d/1eHaY18a8A9IcSdp1K8H6x8fbOy06t2VsZHhMHf-1x7Y/edit?usp=sharing"",""แผน!FF76"")"),20)</f>
        <v>20</v>
      </c>
      <c r="J127" s="169">
        <v>20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IFERROR(__xludf.DUMMYFUNCTION("IMPORTRANGE(""https://docs.google.com/spreadsheets/d/1eHaY18a8A9IcSdp1K8H6x8fbOy06t2VsZHhMHf-1x7Y/edit?usp=sharing"",""แผน!FG76"")"),1)</f>
        <v>1</v>
      </c>
      <c r="J128" s="169">
        <v>1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IFERROR(__xludf.DUMMYFUNCTION("IMPORTRANGE(""https://docs.google.com/spreadsheets/d/1eHaY18a8A9IcSdp1K8H6x8fbOy06t2VsZHhMHf-1x7Y/edit?usp=sharing"",""แผน!FH76"")"),20)</f>
        <v>20</v>
      </c>
      <c r="J129" s="169">
        <v>20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IFERROR(__xludf.DUMMYFUNCTION("IMPORTRANGE(""https://docs.google.com/spreadsheets/d/1eHaY18a8A9IcSdp1K8H6x8fbOy06t2VsZHhMHf-1x7Y/edit?usp=sharing"",""แผน!FI76"")"),1)</f>
        <v>1</v>
      </c>
      <c r="J130" s="169">
        <v>1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0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20</v>
      </c>
      <c r="J137" s="128">
        <f t="shared" si="91"/>
        <v>20</v>
      </c>
      <c r="K137" s="35">
        <f t="shared" ca="1" si="90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2</v>
      </c>
      <c r="J138" s="128">
        <f t="shared" si="91"/>
        <v>2</v>
      </c>
      <c r="K138" s="35">
        <f t="shared" ca="1" si="90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111200</v>
      </c>
      <c r="M139" s="133">
        <f t="shared" ca="1" si="92"/>
        <v>106200</v>
      </c>
      <c r="N139" s="133">
        <f t="shared" ca="1" si="92"/>
        <v>103145</v>
      </c>
      <c r="O139" s="133">
        <f t="shared" ref="O139:O147" ca="1" si="93">IF(L139&gt;0,N139*100/L139,0)</f>
        <v>92.756294964028783</v>
      </c>
      <c r="P139" s="133">
        <f t="shared" ref="P139:P147" ca="1" si="94">IF(M139&gt;0,N139*100/M139,0)</f>
        <v>97.123352165725052</v>
      </c>
      <c r="Q139" s="133">
        <f t="shared" ref="Q139:S139" ca="1" si="95">Q140+Q141</f>
        <v>44860</v>
      </c>
      <c r="R139" s="133">
        <f t="shared" ca="1" si="95"/>
        <v>44860</v>
      </c>
      <c r="S139" s="133">
        <f t="shared" ca="1" si="95"/>
        <v>44860</v>
      </c>
      <c r="T139" s="133">
        <f t="shared" ref="T139:T147" ca="1" si="96">IF(Q139&gt;0,S139*100/Q139,0)</f>
        <v>100</v>
      </c>
      <c r="U139" s="133">
        <f t="shared" ref="U139:U147" ca="1" si="97">IF(R139&gt;0,S139*100/R139,0)</f>
        <v>100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111200</v>
      </c>
      <c r="M141" s="47">
        <f t="shared" ca="1" si="98"/>
        <v>106200</v>
      </c>
      <c r="N141" s="47">
        <f t="shared" ca="1" si="98"/>
        <v>103145</v>
      </c>
      <c r="O141" s="47">
        <f t="shared" ca="1" si="93"/>
        <v>92.756294964028783</v>
      </c>
      <c r="P141" s="47">
        <f t="shared" ca="1" si="94"/>
        <v>97.123352165725052</v>
      </c>
      <c r="Q141" s="47">
        <f t="shared" ca="1" si="99"/>
        <v>44860</v>
      </c>
      <c r="R141" s="47">
        <f t="shared" ca="1" si="99"/>
        <v>44860</v>
      </c>
      <c r="S141" s="47">
        <f t="shared" ca="1" si="99"/>
        <v>44860</v>
      </c>
      <c r="T141" s="47">
        <f t="shared" ca="1" si="96"/>
        <v>100</v>
      </c>
      <c r="U141" s="47">
        <f t="shared" ca="1" si="97"/>
        <v>100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111200</v>
      </c>
      <c r="M142" s="47">
        <f t="shared" ca="1" si="100"/>
        <v>106200</v>
      </c>
      <c r="N142" s="47">
        <f t="shared" ca="1" si="100"/>
        <v>103145</v>
      </c>
      <c r="O142" s="47">
        <f t="shared" ca="1" si="93"/>
        <v>92.756294964028783</v>
      </c>
      <c r="P142" s="47">
        <f t="shared" ca="1" si="94"/>
        <v>97.123352165725052</v>
      </c>
      <c r="Q142" s="47">
        <f t="shared" ref="Q142:S142" ca="1" si="101">Q143+Q144</f>
        <v>44860</v>
      </c>
      <c r="R142" s="47">
        <f t="shared" ca="1" si="101"/>
        <v>44860</v>
      </c>
      <c r="S142" s="47">
        <f t="shared" ca="1" si="101"/>
        <v>44860</v>
      </c>
      <c r="T142" s="47">
        <f t="shared" ca="1" si="96"/>
        <v>100</v>
      </c>
      <c r="U142" s="47">
        <f t="shared" ca="1" si="97"/>
        <v>100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IFERROR(__xludf.DUMMYFUNCTION("IMPORTRANGE(""https://docs.google.com/spreadsheets/d/1-uDff_7J0KD5mKrp0Vvzr7lt3OU09vwQwhkpOPPYv2Y/edit?usp=sharing"",""งบพรบ!BX76"")"),103145)</f>
        <v>103145</v>
      </c>
      <c r="O144" s="47">
        <f t="shared" ca="1" si="93"/>
        <v>92.756294964028783</v>
      </c>
      <c r="P144" s="47">
        <f t="shared" ca="1" si="94"/>
        <v>97.123352165725052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IFERROR(__xludf.DUMMYFUNCTION("IMPORTRANGE(""https://docs.google.com/spreadsheets/d/1ItG2mGa2ceCfYo0BwxsXqNm01IGEUdYcSSLTEv9YCik/edit?usp=sharing"",""เบิกจ่ายกองทุน!CH76"")"),44860)</f>
        <v>44860</v>
      </c>
      <c r="T144" s="47">
        <f t="shared" ca="1" si="96"/>
        <v>100</v>
      </c>
      <c r="U144" s="47">
        <f t="shared" ca="1" si="97"/>
        <v>100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0</v>
      </c>
      <c r="R145" s="47">
        <f t="shared" ca="1" si="103"/>
        <v>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t="shared" ca="1" si="96"/>
        <v>0</v>
      </c>
      <c r="U147" s="47">
        <f t="shared" ca="1" si="97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IFERROR(__xludf.DUMMYFUNCTION("IMPORTRANGE(""https://docs.google.com/spreadsheets/d/1eHaY18a8A9IcSdp1K8H6x8fbOy06t2VsZHhMHf-1x7Y/edit?usp=sharing"",""แผน!U76"")"),0)</f>
        <v>0</v>
      </c>
      <c r="J150" s="169">
        <v>0</v>
      </c>
      <c r="K150" s="47">
        <f t="shared" ref="K150:K154" ca="1" si="104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IFERROR(__xludf.DUMMYFUNCTION("IMPORTRANGE(""https://docs.google.com/spreadsheets/d/1eHaY18a8A9IcSdp1K8H6x8fbOy06t2VsZHhMHf-1x7Y/edit?usp=sharing"",""แผน!V76"")"),0)</f>
        <v>0</v>
      </c>
      <c r="J151" s="169">
        <v>0</v>
      </c>
      <c r="K151" s="47">
        <f t="shared" ca="1" si="104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IFERROR(__xludf.DUMMYFUNCTION("IMPORTRANGE(""https://docs.google.com/spreadsheets/d/1eHaY18a8A9IcSdp1K8H6x8fbOy06t2VsZHhMHf-1x7Y/edit?usp=sharing"",""แผน!W76"")"),20)</f>
        <v>20</v>
      </c>
      <c r="J152" s="169">
        <v>20</v>
      </c>
      <c r="K152" s="47">
        <f t="shared" ca="1" si="104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IFERROR(__xludf.DUMMYFUNCTION("IMPORTRANGE(""https://docs.google.com/spreadsheets/d/1eHaY18a8A9IcSdp1K8H6x8fbOy06t2VsZHhMHf-1x7Y/edit?usp=sharing"",""แผน!X76"")"),2)</f>
        <v>2</v>
      </c>
      <c r="J153" s="169">
        <v>2</v>
      </c>
      <c r="K153" s="47">
        <f t="shared" ca="1" si="104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IFERROR(__xludf.DUMMYFUNCTION("IMPORTRANGE(""https://docs.google.com/spreadsheets/d/1eHaY18a8A9IcSdp1K8H6x8fbOy06t2VsZHhMHf-1x7Y/edit?usp=sharing"",""แผน!Y76"")"),0)</f>
        <v>0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I167</f>
        <v>15</v>
      </c>
      <c r="J156" s="128">
        <f t="shared" si="105"/>
        <v>27</v>
      </c>
      <c r="K156" s="35">
        <f ca="1">IF(I156&gt;0,J156*100/I156,0)</f>
        <v>180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9"/>
      <c r="B157" s="200"/>
      <c r="C157" s="40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4500</v>
      </c>
      <c r="M157" s="133">
        <f t="shared" ca="1" si="106"/>
        <v>11670</v>
      </c>
      <c r="N157" s="133">
        <f t="shared" ca="1" si="106"/>
        <v>11670</v>
      </c>
      <c r="O157" s="133">
        <f t="shared" ref="O157:O165" ca="1" si="107">IF(L157&gt;0,N157*100/L157,0)</f>
        <v>259.33333333333331</v>
      </c>
      <c r="P157" s="133">
        <f t="shared" ref="P157:P165" ca="1" si="108">IF(M157&gt;0,N157*100/M157,0)</f>
        <v>100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4500</v>
      </c>
      <c r="M159" s="47">
        <f t="shared" ca="1" si="112"/>
        <v>11670</v>
      </c>
      <c r="N159" s="47">
        <f t="shared" ca="1" si="112"/>
        <v>11670</v>
      </c>
      <c r="O159" s="47">
        <f t="shared" ca="1" si="107"/>
        <v>259.33333333333331</v>
      </c>
      <c r="P159" s="47">
        <f t="shared" ca="1" si="108"/>
        <v>100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4500</v>
      </c>
      <c r="M160" s="47">
        <f t="shared" ca="1" si="114"/>
        <v>11670</v>
      </c>
      <c r="N160" s="47">
        <f t="shared" ca="1" si="114"/>
        <v>11670</v>
      </c>
      <c r="O160" s="47">
        <f t="shared" ca="1" si="107"/>
        <v>259.33333333333331</v>
      </c>
      <c r="P160" s="47">
        <f t="shared" ca="1" si="108"/>
        <v>100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IFERROR(__xludf.DUMMYFUNCTION("IMPORTRANGE(""https://docs.google.com/spreadsheets/d/1-uDff_7J0KD5mKrp0Vvzr7lt3OU09vwQwhkpOPPYv2Y/edit?usp=sharing"",""งบพรบ!CH76"")"),11670)</f>
        <v>11670</v>
      </c>
      <c r="O162" s="47">
        <f t="shared" ca="1" si="107"/>
        <v>259.33333333333331</v>
      </c>
      <c r="P162" s="47">
        <f t="shared" ca="1" si="108"/>
        <v>100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x14ac:dyDescent="0.3">
      <c r="A166" s="139"/>
      <c r="B166" s="140"/>
      <c r="C166" s="40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IFERROR(__xludf.DUMMYFUNCTION("IMPORTRANGE(""https://docs.google.com/spreadsheets/d/1eHaY18a8A9IcSdp1K8H6x8fbOy06t2VsZHhMHf-1x7Y/edit?usp=sharing"",""แผน!Z76"")"),15)</f>
        <v>15</v>
      </c>
      <c r="J167" s="169">
        <v>27</v>
      </c>
      <c r="K167" s="47">
        <f t="shared" ref="K167:K169" ca="1" si="118">IF(I167&gt;0,J167*100/I167,0)</f>
        <v>180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I167</f>
        <v>15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I167</f>
        <v>15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hidden="1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hidden="1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0</v>
      </c>
      <c r="J172" s="222">
        <f t="shared" si="119"/>
        <v>0</v>
      </c>
      <c r="K172" s="223">
        <f ca="1">IF(I172&gt;0,J172*100/I172,0)</f>
        <v>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hidden="1" x14ac:dyDescent="0.3">
      <c r="A173" s="129"/>
      <c r="B173" s="200"/>
      <c r="C173" s="19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0</v>
      </c>
      <c r="M173" s="133">
        <f t="shared" ca="1" si="120"/>
        <v>0</v>
      </c>
      <c r="N173" s="133">
        <f t="shared" ca="1" si="120"/>
        <v>0</v>
      </c>
      <c r="O173" s="133">
        <f t="shared" ref="O173:O181" ca="1" si="121">IF(L173&gt;0,N173*100/L173,0)</f>
        <v>0</v>
      </c>
      <c r="P173" s="133">
        <f t="shared" ref="P173:P181" ca="1" si="122">IF(M173&gt;0,N173*100/M173,0)</f>
        <v>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0</v>
      </c>
      <c r="M175" s="47">
        <f t="shared" ca="1" si="126"/>
        <v>0</v>
      </c>
      <c r="N175" s="47">
        <f t="shared" ca="1" si="126"/>
        <v>0</v>
      </c>
      <c r="O175" s="47">
        <f t="shared" ca="1" si="121"/>
        <v>0</v>
      </c>
      <c r="P175" s="47">
        <f t="shared" ca="1" si="122"/>
        <v>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hidden="1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0</v>
      </c>
      <c r="M176" s="47">
        <f t="shared" ca="1" si="128"/>
        <v>0</v>
      </c>
      <c r="N176" s="47">
        <f t="shared" ca="1" si="128"/>
        <v>0</v>
      </c>
      <c r="O176" s="47">
        <f t="shared" ca="1" si="121"/>
        <v>0</v>
      </c>
      <c r="P176" s="47">
        <f t="shared" ca="1" si="122"/>
        <v>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t="shared" ca="1" si="121"/>
        <v>0</v>
      </c>
      <c r="P178" s="47">
        <f t="shared" ca="1" si="122"/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hidden="1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hidden="1" x14ac:dyDescent="0.3">
      <c r="A182" s="139"/>
      <c r="B182" s="140"/>
      <c r="C182" s="19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IFERROR(__xludf.DUMMYFUNCTION("IMPORTRANGE(""https://docs.google.com/spreadsheets/d/1eHaY18a8A9IcSdp1K8H6x8fbOy06t2VsZHhMHf-1x7Y/edit?usp=sharing"",""แผน!AA76"")"),0)</f>
        <v>0</v>
      </c>
      <c r="J183" s="169">
        <v>0</v>
      </c>
      <c r="K183" s="47">
        <f t="shared" ref="K183:K185" ca="1" si="132">IF(I183&gt;0,J183*100/I183,0)</f>
        <v>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0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41500</v>
      </c>
      <c r="M186" s="133">
        <f t="shared" ca="1" si="134"/>
        <v>88750</v>
      </c>
      <c r="N186" s="133">
        <f t="shared" ca="1" si="134"/>
        <v>84952</v>
      </c>
      <c r="O186" s="133">
        <f t="shared" ref="O186:O194" ca="1" si="135">IF(L186&gt;0,N186*100/L186,0)</f>
        <v>204.70361445783132</v>
      </c>
      <c r="P186" s="133">
        <f t="shared" ref="P186:P194" ca="1" si="136">IF(M186&gt;0,N186*100/M186,0)</f>
        <v>95.720563380281689</v>
      </c>
      <c r="Q186" s="133">
        <f t="shared" ref="Q186:S186" ca="1" si="137">Q187+Q188</f>
        <v>105700</v>
      </c>
      <c r="R186" s="133">
        <f t="shared" ca="1" si="137"/>
        <v>105700</v>
      </c>
      <c r="S186" s="133">
        <f t="shared" ca="1" si="137"/>
        <v>69200</v>
      </c>
      <c r="T186" s="133">
        <f t="shared" ref="T186:T194" ca="1" si="138">IF(Q186&gt;0,S186*100/Q186,0)</f>
        <v>65.468306527909178</v>
      </c>
      <c r="U186" s="133">
        <f t="shared" ref="U186:U194" ca="1" si="139">IF(R186&gt;0,S186*100/R186,0)</f>
        <v>65.468306527909178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41500</v>
      </c>
      <c r="M188" s="47">
        <f t="shared" ca="1" si="140"/>
        <v>88750</v>
      </c>
      <c r="N188" s="47">
        <f t="shared" ca="1" si="140"/>
        <v>84952</v>
      </c>
      <c r="O188" s="47">
        <f t="shared" ca="1" si="135"/>
        <v>204.70361445783132</v>
      </c>
      <c r="P188" s="47">
        <f t="shared" ca="1" si="136"/>
        <v>95.720563380281689</v>
      </c>
      <c r="Q188" s="47">
        <f t="shared" ca="1" si="141"/>
        <v>105700</v>
      </c>
      <c r="R188" s="47">
        <f t="shared" ca="1" si="141"/>
        <v>105700</v>
      </c>
      <c r="S188" s="47">
        <f t="shared" ca="1" si="141"/>
        <v>69200</v>
      </c>
      <c r="T188" s="47">
        <f t="shared" ca="1" si="138"/>
        <v>65.468306527909178</v>
      </c>
      <c r="U188" s="47">
        <f t="shared" ca="1" si="139"/>
        <v>65.468306527909178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41500</v>
      </c>
      <c r="M189" s="47">
        <f t="shared" ca="1" si="142"/>
        <v>88750</v>
      </c>
      <c r="N189" s="47">
        <f t="shared" ca="1" si="142"/>
        <v>84952</v>
      </c>
      <c r="O189" s="47">
        <f t="shared" ca="1" si="135"/>
        <v>204.70361445783132</v>
      </c>
      <c r="P189" s="47">
        <f t="shared" ca="1" si="136"/>
        <v>95.720563380281689</v>
      </c>
      <c r="Q189" s="47">
        <f t="shared" ref="Q189:S189" ca="1" si="143">Q190+Q191</f>
        <v>105700</v>
      </c>
      <c r="R189" s="47">
        <f t="shared" ca="1" si="143"/>
        <v>105700</v>
      </c>
      <c r="S189" s="47">
        <f t="shared" ca="1" si="143"/>
        <v>69200</v>
      </c>
      <c r="T189" s="47">
        <f t="shared" ca="1" si="138"/>
        <v>65.468306527909178</v>
      </c>
      <c r="U189" s="47">
        <f t="shared" ca="1" si="139"/>
        <v>65.468306527909178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IFERROR(__xludf.DUMMYFUNCTION("IMPORTRANGE(""https://docs.google.com/spreadsheets/d/1-uDff_7J0KD5mKrp0Vvzr7lt3OU09vwQwhkpOPPYv2Y/edit?usp=sharing"",""งบพรบ!CZ76"")"),88750)</f>
        <v>88750</v>
      </c>
      <c r="N191" s="47">
        <f ca="1">IFERROR(__xludf.DUMMYFUNCTION("IMPORTRANGE(""https://docs.google.com/spreadsheets/d/1-uDff_7J0KD5mKrp0Vvzr7lt3OU09vwQwhkpOPPYv2Y/edit?usp=sharing"",""งบพรบ!DB76"")"),84952)</f>
        <v>84952</v>
      </c>
      <c r="O191" s="47">
        <f t="shared" ca="1" si="135"/>
        <v>204.70361445783132</v>
      </c>
      <c r="P191" s="47">
        <f t="shared" ca="1" si="136"/>
        <v>95.720563380281689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IFERROR(__xludf.DUMMYFUNCTION("IMPORTRANGE(""https://docs.google.com/spreadsheets/d/1ItG2mGa2ceCfYo0BwxsXqNm01IGEUdYcSSLTEv9YCik/edit?usp=sharing"",""เบิกจ่ายกองทุน!BS76"")"),69200)</f>
        <v>69200</v>
      </c>
      <c r="T191" s="47">
        <f t="shared" ca="1" si="138"/>
        <v>65.468306527909178</v>
      </c>
      <c r="U191" s="47">
        <f t="shared" ca="1" si="139"/>
        <v>65.468306527909178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IFERROR(__xludf.DUMMYFUNCTION("IMPORTRANGE(""https://docs.google.com/spreadsheets/d/1eHaY18a8A9IcSdp1K8H6x8fbOy06t2VsZHhMHf-1x7Y/edit?usp=sharing"",""แผน!AE76"")"),4)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0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0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4</v>
      </c>
      <c r="J202" s="236">
        <f t="shared" si="147"/>
        <v>4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25000</v>
      </c>
      <c r="M203" s="46"/>
      <c r="N203" s="133">
        <f>N204+N205+N206+N207</f>
        <v>24300</v>
      </c>
      <c r="O203" s="133">
        <f ca="1">IF(L203&gt;0,N203*100/L203,0)</f>
        <v>97.2</v>
      </c>
      <c r="P203" s="133">
        <f>IF(M203&gt;0,N203*100/M203,0)</f>
        <v>0</v>
      </c>
      <c r="Q203" s="637">
        <f ca="1">Q204+Q205+Q206+Q207</f>
        <v>56000</v>
      </c>
      <c r="R203" s="180"/>
      <c r="S203" s="638">
        <f>S204+S205+S206+S207</f>
        <v>0</v>
      </c>
      <c r="T203" s="638">
        <f ca="1">IF(Q203&gt;0,S203*100/Q203,0)</f>
        <v>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IFERROR(__xludf.DUMMYFUNCTION("IMPORTRANGE(""https://docs.google.com/spreadsheets/d/1eHaY18a8A9IcSdp1K8H6x8fbOy06t2VsZHhMHf-1x7Y/edit?usp=sharing"",""แผน!AG76"")"),4000)</f>
        <v>4000</v>
      </c>
      <c r="M204" s="46"/>
      <c r="N204" s="639">
        <v>3300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IFERROR(__xludf.DUMMYFUNCTION("IMPORTRANGE(""https://docs.google.com/spreadsheets/d/1eHaY18a8A9IcSdp1K8H6x8fbOy06t2VsZHhMHf-1x7Y/edit?usp=sharing"",""แผน!AH76"")"),0)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IFERROR(__xludf.DUMMYFUNCTION("IMPORTRANGE(""https://docs.google.com/spreadsheets/d/1eHaY18a8A9IcSdp1K8H6x8fbOy06t2VsZHhMHf-1x7Y/edit?usp=sharing"",""แผน!AI76"")"),0)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639">
        <v>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IFERROR(__xludf.DUMMYFUNCTION("IMPORTRANGE(""https://docs.google.com/spreadsheets/d/1eHaY18a8A9IcSdp1K8H6x8fbOy06t2VsZHhMHf-1x7Y/edit?usp=sharing"",""แผน!AJ76"")"),21000)</f>
        <v>21000</v>
      </c>
      <c r="M207" s="46"/>
      <c r="N207" s="639">
        <v>21000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IFERROR(__xludf.DUMMYFUNCTION("IMPORTRANGE(""https://docs.google.com/spreadsheets/d/1eHaY18a8A9IcSdp1K8H6x8fbOy06t2VsZHhMHf-1x7Y/edit?usp=sharing"",""แผน!AK76"")"),4)</f>
        <v>4</v>
      </c>
      <c r="J209" s="169">
        <v>4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IFERROR(__xludf.DUMMYFUNCTION("IMPORTRANGE(""https://docs.google.com/spreadsheets/d/1eHaY18a8A9IcSdp1K8H6x8fbOy06t2VsZHhMHf-1x7Y/edit?usp=sharing"",""แผน!JX76"")"),4)</f>
        <v>4</v>
      </c>
      <c r="J211" s="169">
        <v>4</v>
      </c>
      <c r="K211" s="154">
        <f t="shared" ref="K211:K213" ca="1" si="148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IFERROR(__xludf.DUMMYFUNCTION("IMPORTRANGE(""https://docs.google.com/spreadsheets/d/1eHaY18a8A9IcSdp1K8H6x8fbOy06t2VsZHhMHf-1x7Y/edit?usp=sharing"",""แผน!JY76"")"),1)</f>
        <v>1</v>
      </c>
      <c r="J212" s="169">
        <v>1</v>
      </c>
      <c r="K212" s="154">
        <f t="shared" ca="1" si="148"/>
        <v>100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1</v>
      </c>
      <c r="J213" s="236">
        <f t="shared" si="149"/>
        <v>1</v>
      </c>
      <c r="K213" s="237">
        <f t="shared" ca="1" si="148"/>
        <v>100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x14ac:dyDescent="0.3">
      <c r="A214" s="129"/>
      <c r="B214" s="200"/>
      <c r="C214" s="40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6000</v>
      </c>
      <c r="M214" s="46"/>
      <c r="N214" s="133">
        <f>N215+N216+N217</f>
        <v>5000</v>
      </c>
      <c r="O214" s="133">
        <f ca="1">IF(L214&gt;0,N214*100/L214,0)</f>
        <v>83.333333333333329</v>
      </c>
      <c r="P214" s="133">
        <f>IF(M214&gt;0,N214*100/M214,0)</f>
        <v>0</v>
      </c>
      <c r="Q214" s="617">
        <f ca="1">Q215+Q216+Q217</f>
        <v>49700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639">
        <v>5000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IFERROR(__xludf.DUMMYFUNCTION("IMPORTRANGE(""https://docs.google.com/spreadsheets/d/1eHaY18a8A9IcSdp1K8H6x8fbOy06t2VsZHhMHf-1x7Y/edit?usp=sharing"",""แผน!AO76"")"),0)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639">
        <v>0</v>
      </c>
      <c r="T217" s="137"/>
      <c r="U217" s="46"/>
    </row>
    <row r="218" spans="1:21" ht="19.5" x14ac:dyDescent="0.3">
      <c r="A218" s="139"/>
      <c r="B218" s="140"/>
      <c r="C218" s="409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IFERROR(__xludf.DUMMYFUNCTION("IMPORTRANGE(""https://docs.google.com/spreadsheets/d/1eHaY18a8A9IcSdp1K8H6x8fbOy06t2VsZHhMHf-1x7Y/edit?usp=sharing"",""แผน!AP76"")"),1)</f>
        <v>1</v>
      </c>
      <c r="J219" s="169">
        <v>1</v>
      </c>
      <c r="K219" s="47">
        <f t="shared" ref="K219:K221" ca="1" si="150">IF(I219&gt;0,J219*100/I219,0)</f>
        <v>100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IFERROR(__xludf.DUMMYFUNCTION("IMPORTRANGE(""https://docs.google.com/spreadsheets/d/1eHaY18a8A9IcSdp1K8H6x8fbOy06t2VsZHhMHf-1x7Y/edit?usp=sharing"",""แผน!AP76"")"),1)</f>
        <v>1</v>
      </c>
      <c r="J220" s="169">
        <v>1</v>
      </c>
      <c r="K220" s="47">
        <f t="shared" ca="1" si="150"/>
        <v>100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20000</v>
      </c>
      <c r="J221" s="236">
        <f t="shared" si="151"/>
        <v>30000</v>
      </c>
      <c r="K221" s="237">
        <f t="shared" ca="1" si="150"/>
        <v>150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3900</v>
      </c>
      <c r="O222" s="133">
        <f ca="1">IF(L222&gt;0,N222*100/L222,0)</f>
        <v>86.666666666666671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IFERROR(__xludf.DUMMYFUNCTION("IMPORTRANGE(""https://docs.google.com/spreadsheets/d/1eHaY18a8A9IcSdp1K8H6x8fbOy06t2VsZHhMHf-1x7Y/edit?usp=sharing"",""แผน!AR76"")"),2500)</f>
        <v>2500</v>
      </c>
      <c r="M223" s="46"/>
      <c r="N223" s="639">
        <v>1900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IFERROR(__xludf.DUMMYFUNCTION("IMPORTRANGE(""https://docs.google.com/spreadsheets/d/1eHaY18a8A9IcSdp1K8H6x8fbOy06t2VsZHhMHf-1x7Y/edit?usp=sharing"",""แผน!AS76"")"),2000)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IFERROR(__xludf.DUMMYFUNCTION("IMPORTRANGE(""https://docs.google.com/spreadsheets/d/1eHaY18a8A9IcSdp1K8H6x8fbOy06t2VsZHhMHf-1x7Y/edit?usp=sharing"",""แผน!AT76"")"),0)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IFERROR(__xludf.DUMMYFUNCTION("IMPORTRANGE(""https://docs.google.com/spreadsheets/d/1eHaY18a8A9IcSdp1K8H6x8fbOy06t2VsZHhMHf-1x7Y/edit?usp=sharing"",""แผน!AV76"")"),20000)</f>
        <v>20000</v>
      </c>
      <c r="J228" s="169">
        <v>20000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IFERROR(__xludf.DUMMYFUNCTION("IMPORTRANGE(""https://docs.google.com/spreadsheets/d/1eHaY18a8A9IcSdp1K8H6x8fbOy06t2VsZHhMHf-1x7Y/edit?usp=sharing"",""แผน!AV76"")"),20000)</f>
        <v>20000</v>
      </c>
      <c r="J229" s="169">
        <v>30000</v>
      </c>
      <c r="K229" s="154">
        <f t="shared" ca="1" si="152"/>
        <v>150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IFERROR(__xludf.DUMMYFUNCTION("IMPORTRANGE(""https://docs.google.com/spreadsheets/d/1eHaY18a8A9IcSdp1K8H6x8fbOy06t2VsZHhMHf-1x7Y/edit?usp=sharing"",""แผน!AU76"")"),0)</f>
        <v>0</v>
      </c>
      <c r="J230" s="169">
        <v>0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3">I242+I253</f>
        <v>0</v>
      </c>
      <c r="J231" s="646">
        <f t="shared" si="153"/>
        <v>0</v>
      </c>
      <c r="K231" s="64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6">I249+I260</f>
        <v>0</v>
      </c>
      <c r="J238" s="517">
        <f t="shared" si="156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7">I251+I262</f>
        <v>0</v>
      </c>
      <c r="J240" s="517">
        <f t="shared" si="157"/>
        <v>0</v>
      </c>
      <c r="K240" s="49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7"/>
        <v>0</v>
      </c>
      <c r="J241" s="517">
        <f t="shared" si="157"/>
        <v>0</v>
      </c>
      <c r="K241" s="49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IFERROR(__xludf.DUMMYFUNCTION("IMPORTRANGE(""https://docs.google.com/spreadsheets/d/1eHaY18a8A9IcSdp1K8H6x8fbOy06t2VsZHhMHf-1x7Y/edit?usp=sharing"",""แผน!AX76"")"),0)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IFERROR(__xludf.DUMMYFUNCTION("IMPORTRANGE(""https://docs.google.com/spreadsheets/d/1eHaY18a8A9IcSdp1K8H6x8fbOy06t2VsZHhMHf-1x7Y/edit?usp=sharing"",""แผน!AY76"")"),0)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IFERROR(__xludf.DUMMYFUNCTION("IMPORTRANGE(""https://docs.google.com/spreadsheets/d/1eHaY18a8A9IcSdp1K8H6x8fbOy06t2VsZHhMHf-1x7Y/edit?usp=sharing"",""แผน!AZ76"")"),0)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IFERROR(__xludf.DUMMYFUNCTION("IMPORTRANGE(""https://docs.google.com/spreadsheets/d/1eHaY18a8A9IcSdp1K8H6x8fbOy06t2VsZHhMHf-1x7Y/edit?usp=sharing"",""แผน!BA76"")"),0)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IFERROR(__xludf.DUMMYFUNCTION("IMPORTRANGE(""https://docs.google.com/spreadsheets/d/1eHaY18a8A9IcSdp1K8H6x8fbOy06t2VsZHhMHf-1x7Y/edit?usp=sharing"",""แผน!BG76"")"),0)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IFERROR(__xludf.DUMMYFUNCTION("IMPORTRANGE(""https://docs.google.com/spreadsheets/d/1eHaY18a8A9IcSdp1K8H6x8fbOy06t2VsZHhMHf-1x7Y/edit?usp=sharing"",""แผน!BB76"")"),0)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IFERROR(__xludf.DUMMYFUNCTION("IMPORTRANGE(""https://docs.google.com/spreadsheets/d/1eHaY18a8A9IcSdp1K8H6x8fbOy06t2VsZHhMHf-1x7Y/edit?usp=sharing"",""แผน!BC76"")"),0)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IFERROR(__xludf.DUMMYFUNCTION("IMPORTRANGE(""https://docs.google.com/spreadsheets/d/1eHaY18a8A9IcSdp1K8H6x8fbOy06t2VsZHhMHf-1x7Y/edit?usp=sharing"",""แผน!BD76"")"),0)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IFERROR(__xludf.DUMMYFUNCTION("IMPORTRANGE(""https://docs.google.com/spreadsheets/d/1eHaY18a8A9IcSdp1K8H6x8fbOy06t2VsZHhMHf-1x7Y/edit?usp=sharing"",""แผน!BE76"")"),0)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IFERROR(__xludf.DUMMYFUNCTION("IMPORTRANGE(""https://docs.google.com/spreadsheets/d/1eHaY18a8A9IcSdp1K8H6x8fbOy06t2VsZHhMHf-1x7Y/edit?usp=sharing"",""แผน!BH76"")"),0)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24</v>
      </c>
      <c r="J265" s="686">
        <f t="shared" si="163"/>
        <v>24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4">L267+L268</f>
        <v>5000</v>
      </c>
      <c r="M266" s="441">
        <f t="shared" ca="1" si="164"/>
        <v>35170</v>
      </c>
      <c r="N266" s="441">
        <f t="shared" ca="1" si="164"/>
        <v>18380</v>
      </c>
      <c r="O266" s="441">
        <f t="shared" ref="O266:O274" ca="1" si="165">IF(L266&gt;0,N266*100/L266,0)</f>
        <v>367.6</v>
      </c>
      <c r="P266" s="441">
        <f t="shared" ref="P266:P274" ca="1" si="166">IF(M266&gt;0,N266*100/M266,0)</f>
        <v>52.26044924651692</v>
      </c>
      <c r="Q266" s="441">
        <f t="shared" ref="Q266:S266" ca="1" si="167">Q267+Q268</f>
        <v>53440</v>
      </c>
      <c r="R266" s="441">
        <f t="shared" ca="1" si="167"/>
        <v>53440</v>
      </c>
      <c r="S266" s="441">
        <f t="shared" ca="1" si="167"/>
        <v>53440</v>
      </c>
      <c r="T266" s="441">
        <f t="shared" ref="T266:T274" ca="1" si="168">IF(Q266&gt;0,S266*100/Q266,0)</f>
        <v>100</v>
      </c>
      <c r="U266" s="441">
        <f t="shared" ref="U266:U274" ca="1" si="169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70"/>
        <v>5000</v>
      </c>
      <c r="M268" s="352">
        <f t="shared" ca="1" si="170"/>
        <v>35170</v>
      </c>
      <c r="N268" s="352">
        <f t="shared" ca="1" si="170"/>
        <v>18380</v>
      </c>
      <c r="O268" s="352">
        <f t="shared" ca="1" si="165"/>
        <v>367.6</v>
      </c>
      <c r="P268" s="352">
        <f t="shared" ca="1" si="166"/>
        <v>52.26044924651692</v>
      </c>
      <c r="Q268" s="352">
        <f t="shared" ca="1" si="171"/>
        <v>53440</v>
      </c>
      <c r="R268" s="352">
        <f t="shared" ca="1" si="171"/>
        <v>53440</v>
      </c>
      <c r="S268" s="352">
        <f t="shared" ca="1" si="171"/>
        <v>53440</v>
      </c>
      <c r="T268" s="352">
        <f t="shared" ca="1" si="168"/>
        <v>100</v>
      </c>
      <c r="U268" s="352">
        <f t="shared" ca="1" si="169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2">L270+L271</f>
        <v>5000</v>
      </c>
      <c r="M269" s="352">
        <f t="shared" ca="1" si="172"/>
        <v>35170</v>
      </c>
      <c r="N269" s="352">
        <f t="shared" ca="1" si="172"/>
        <v>18380</v>
      </c>
      <c r="O269" s="352">
        <f t="shared" ca="1" si="165"/>
        <v>367.6</v>
      </c>
      <c r="P269" s="352">
        <f t="shared" ca="1" si="166"/>
        <v>52.26044924651692</v>
      </c>
      <c r="Q269" s="352">
        <f t="shared" ref="Q269:S269" ca="1" si="173">Q270+Q271</f>
        <v>53440</v>
      </c>
      <c r="R269" s="352">
        <f t="shared" ca="1" si="173"/>
        <v>53440</v>
      </c>
      <c r="S269" s="352">
        <f t="shared" ca="1" si="173"/>
        <v>53440</v>
      </c>
      <c r="T269" s="352">
        <f t="shared" ca="1" si="168"/>
        <v>100</v>
      </c>
      <c r="U269" s="352">
        <f t="shared" ca="1" si="169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IFERROR(__xludf.DUMMYFUNCTION("IMPORTRANGE(""https://docs.google.com/spreadsheets/d/1-uDff_7J0KD5mKrp0Vvzr7lt3OU09vwQwhkpOPPYv2Y/edit?usp=sharing"",""งบพรบ!DE76"")"),5000)</f>
        <v>5000</v>
      </c>
      <c r="M271" s="352">
        <f ca="1">IFERROR(__xludf.DUMMYFUNCTION("IMPORTRANGE(""https://docs.google.com/spreadsheets/d/1-uDff_7J0KD5mKrp0Vvzr7lt3OU09vwQwhkpOPPYv2Y/edit?usp=sharing"",""งบพรบ!DJ76"")"),35170)</f>
        <v>35170</v>
      </c>
      <c r="N271" s="352">
        <f ca="1">IFERROR(__xludf.DUMMYFUNCTION("IMPORTRANGE(""https://docs.google.com/spreadsheets/d/1-uDff_7J0KD5mKrp0Vvzr7lt3OU09vwQwhkpOPPYv2Y/edit?usp=sharing"",""งบพรบ!DL76"")"),18380)</f>
        <v>18380</v>
      </c>
      <c r="O271" s="352">
        <f t="shared" ca="1" si="165"/>
        <v>367.6</v>
      </c>
      <c r="P271" s="352">
        <f t="shared" ca="1" si="166"/>
        <v>52.26044924651692</v>
      </c>
      <c r="Q271" s="352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352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352">
        <f ca="1">IFERROR(__xludf.DUMMYFUNCTION("IMPORTRANGE(""https://docs.google.com/spreadsheets/d/1ItG2mGa2ceCfYo0BwxsXqNm01IGEUdYcSSLTEv9YCik/edit?usp=sharing"",""เบิกจ่ายกองทุน!AR76"")"),53440)</f>
        <v>53440</v>
      </c>
      <c r="T271" s="352">
        <f t="shared" ca="1" si="168"/>
        <v>100</v>
      </c>
      <c r="U271" s="352">
        <f t="shared" ca="1" si="169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4">L273+L274</f>
        <v>0</v>
      </c>
      <c r="M272" s="352">
        <f t="shared" ca="1" si="174"/>
        <v>0</v>
      </c>
      <c r="N272" s="352">
        <f t="shared" ca="1" si="174"/>
        <v>0</v>
      </c>
      <c r="O272" s="352">
        <f t="shared" ca="1" si="165"/>
        <v>0</v>
      </c>
      <c r="P272" s="352">
        <f t="shared" ca="1" si="166"/>
        <v>0</v>
      </c>
      <c r="Q272" s="352">
        <f t="shared" ref="Q272:S272" si="175">Q273+Q274</f>
        <v>0</v>
      </c>
      <c r="R272" s="352">
        <f t="shared" si="175"/>
        <v>0</v>
      </c>
      <c r="S272" s="352">
        <f t="shared" si="175"/>
        <v>0</v>
      </c>
      <c r="T272" s="352">
        <f t="shared" si="168"/>
        <v>0</v>
      </c>
      <c r="U272" s="352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IFERROR(__xludf.DUMMYFUNCTION("IMPORTRANGE(""https://docs.google.com/spreadsheets/d/1-uDff_7J0KD5mKrp0Vvzr7lt3OU09vwQwhkpOPPYv2Y/edit?usp=sharing"",""งบพรบ!DH76"")"),0)</f>
        <v>0</v>
      </c>
      <c r="M274" s="352">
        <f ca="1">IFERROR(__xludf.DUMMYFUNCTION("IMPORTRANGE(""https://docs.google.com/spreadsheets/d/1-uDff_7J0KD5mKrp0Vvzr7lt3OU09vwQwhkpOPPYv2Y/edit?usp=sharing"",""งบพรบ!DK76"")"),0)</f>
        <v>0</v>
      </c>
      <c r="N274" s="352">
        <f ca="1">IFERROR(__xludf.DUMMYFUNCTION("IMPORTRANGE(""https://docs.google.com/spreadsheets/d/1-uDff_7J0KD5mKrp0Vvzr7lt3OU09vwQwhkpOPPYv2Y/edit?usp=sharing"",""งบพรบ!DM76"")"),0)</f>
        <v>0</v>
      </c>
      <c r="O274" s="352">
        <f t="shared" ca="1" si="165"/>
        <v>0</v>
      </c>
      <c r="P274" s="352">
        <f t="shared" ca="1" si="166"/>
        <v>0</v>
      </c>
      <c r="Q274" s="352">
        <v>0</v>
      </c>
      <c r="R274" s="352">
        <v>0</v>
      </c>
      <c r="S274" s="352">
        <v>0</v>
      </c>
      <c r="T274" s="352">
        <f t="shared" si="168"/>
        <v>0</v>
      </c>
      <c r="U274" s="352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IFERROR(__xludf.DUMMYFUNCTION("IMPORTRANGE(""https://docs.google.com/spreadsheets/d/1eHaY18a8A9IcSdp1K8H6x8fbOy06t2VsZHhMHf-1x7Y/edit?usp=sharing"",""แผน!EC76"")"),24)</f>
        <v>24</v>
      </c>
      <c r="J276" s="178">
        <v>24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IFERROR(__xludf.DUMMYFUNCTION("IMPORTRANGE(""https://docs.google.com/spreadsheets/d/1eHaY18a8A9IcSdp1K8H6x8fbOy06t2VsZHhMHf-1x7Y/edit?usp=sharing"",""แผน!EE76"")"),0)</f>
        <v>0</v>
      </c>
      <c r="J292" s="169">
        <v>0</v>
      </c>
      <c r="K292" s="154">
        <f t="shared" ref="K292:K293" ca="1" si="191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IFERROR(__xludf.DUMMYFUNCTION("IMPORTRANGE(""https://docs.google.com/spreadsheets/d/1eHaY18a8A9IcSdp1K8H6x8fbOy06t2VsZHhMHf-1x7Y/edit?usp=sharing"",""แผน!ED76"")"),0)</f>
        <v>0</v>
      </c>
      <c r="J293" s="371">
        <f>J296</f>
        <v>0</v>
      </c>
      <c r="K293" s="149">
        <f t="shared" ca="1" si="191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IFERROR(__xludf.DUMMYFUNCTION("IMPORTRANGE(""https://docs.google.com/spreadsheets/d/1eHaY18a8A9IcSdp1K8H6x8fbOy06t2VsZHhMHf-1x7Y/edit?usp=sharing"",""แผน!ED76"")"),0)</f>
        <v>0</v>
      </c>
      <c r="J295" s="169">
        <v>0</v>
      </c>
      <c r="K295" s="154">
        <f t="shared" ref="K295:K296" ca="1" si="192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IFERROR(__xludf.DUMMYFUNCTION("IMPORTRANGE(""https://docs.google.com/spreadsheets/d/1eHaY18a8A9IcSdp1K8H6x8fbOy06t2VsZHhMHf-1x7Y/edit?usp=sharing"",""แผน!ED76"")"),0)</f>
        <v>0</v>
      </c>
      <c r="J296" s="169">
        <v>0</v>
      </c>
      <c r="K296" s="154">
        <f t="shared" ca="1" si="192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30</v>
      </c>
      <c r="J302" s="321">
        <f t="shared" si="193"/>
        <v>30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0</v>
      </c>
      <c r="M303" s="133">
        <f t="shared" ca="1" si="194"/>
        <v>0</v>
      </c>
      <c r="N303" s="133">
        <f t="shared" ca="1" si="194"/>
        <v>0</v>
      </c>
      <c r="O303" s="133">
        <f t="shared" ref="O303:O311" ca="1" si="195">IF(L303&gt;0,N303*100/L303,0)</f>
        <v>0</v>
      </c>
      <c r="P303" s="133">
        <f t="shared" ref="P303:P311" ca="1" si="196">IF(M303&gt;0,N303*100/M303,0)</f>
        <v>0</v>
      </c>
      <c r="Q303" s="133">
        <f t="shared" ref="Q303:S303" ca="1" si="197">Q304+Q305</f>
        <v>260958.39</v>
      </c>
      <c r="R303" s="133">
        <f t="shared" ca="1" si="197"/>
        <v>265158</v>
      </c>
      <c r="S303" s="133">
        <f t="shared" ca="1" si="197"/>
        <v>209909</v>
      </c>
      <c r="T303" s="133">
        <f t="shared" ref="T303:T311" ca="1" si="198">IF(Q303&gt;0,S303*100/Q303,0)</f>
        <v>80.437728022463659</v>
      </c>
      <c r="U303" s="133">
        <f t="shared" ref="U303:U311" ca="1" si="199">IF(R303&gt;0,S303*100/R303,0)</f>
        <v>79.163743881006795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0</v>
      </c>
      <c r="M305" s="47">
        <f t="shared" ca="1" si="200"/>
        <v>0</v>
      </c>
      <c r="N305" s="47">
        <f t="shared" ca="1" si="200"/>
        <v>0</v>
      </c>
      <c r="O305" s="47">
        <f t="shared" ca="1" si="195"/>
        <v>0</v>
      </c>
      <c r="P305" s="47">
        <f t="shared" ca="1" si="196"/>
        <v>0</v>
      </c>
      <c r="Q305" s="47">
        <f t="shared" ca="1" si="201"/>
        <v>260958.39</v>
      </c>
      <c r="R305" s="47">
        <f t="shared" ca="1" si="201"/>
        <v>265158</v>
      </c>
      <c r="S305" s="47">
        <f t="shared" ca="1" si="201"/>
        <v>209909</v>
      </c>
      <c r="T305" s="47">
        <f t="shared" ca="1" si="198"/>
        <v>80.437728022463659</v>
      </c>
      <c r="U305" s="47">
        <f t="shared" ca="1" si="199"/>
        <v>79.163743881006795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0</v>
      </c>
      <c r="M306" s="47">
        <f t="shared" ca="1" si="202"/>
        <v>0</v>
      </c>
      <c r="N306" s="47">
        <f t="shared" ca="1" si="202"/>
        <v>0</v>
      </c>
      <c r="O306" s="47">
        <f t="shared" ca="1" si="195"/>
        <v>0</v>
      </c>
      <c r="P306" s="47">
        <f t="shared" ca="1" si="196"/>
        <v>0</v>
      </c>
      <c r="Q306" s="47">
        <f t="shared" ref="Q306:S306" ca="1" si="203">Q307+Q308</f>
        <v>260958.39</v>
      </c>
      <c r="R306" s="47">
        <f t="shared" ca="1" si="203"/>
        <v>265158</v>
      </c>
      <c r="S306" s="47">
        <f t="shared" ca="1" si="203"/>
        <v>209909</v>
      </c>
      <c r="T306" s="47">
        <f t="shared" ca="1" si="198"/>
        <v>80.437728022463659</v>
      </c>
      <c r="U306" s="47">
        <f t="shared" ca="1" si="199"/>
        <v>79.163743881006795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t="shared" ca="1" si="195"/>
        <v>0</v>
      </c>
      <c r="P308" s="47">
        <f t="shared" ca="1" si="196"/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IFERROR(__xludf.DUMMYFUNCTION("IMPORTRANGE(""https://docs.google.com/spreadsheets/d/1ItG2mGa2ceCfYo0BwxsXqNm01IGEUdYcSSLTEv9YCik/edit?usp=sharing"",""เบิกจ่ายกองทุน!BC76"")"),265158)</f>
        <v>265158</v>
      </c>
      <c r="S308" s="47">
        <f ca="1">IFERROR(__xludf.DUMMYFUNCTION("IMPORTRANGE(""https://docs.google.com/spreadsheets/d/1ItG2mGa2ceCfYo0BwxsXqNm01IGEUdYcSSLTEv9YCik/edit?usp=sharing"",""เบิกจ่ายกองทุน!BD76"")"),209909)</f>
        <v>209909</v>
      </c>
      <c r="T308" s="47">
        <f t="shared" ca="1" si="198"/>
        <v>80.437728022463659</v>
      </c>
      <c r="U308" s="47">
        <f t="shared" ca="1" si="199"/>
        <v>79.163743881006795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IFERROR(__xludf.DUMMYFUNCTION("IMPORTRANGE(""https://docs.google.com/spreadsheets/d/1eHaY18a8A9IcSdp1K8H6x8fbOy06t2VsZHhMHf-1x7Y/edit?usp=sharing"",""แผน!EF76"")"),30)</f>
        <v>30</v>
      </c>
      <c r="J314" s="169">
        <v>30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1</v>
      </c>
      <c r="J319" s="321">
        <f t="shared" si="206"/>
        <v>1</v>
      </c>
      <c r="K319" s="322">
        <f ca="1">IF(I319&gt;0,J319*100/I319,0)</f>
        <v>100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x14ac:dyDescent="0.3">
      <c r="A320" s="129"/>
      <c r="B320" s="200"/>
      <c r="C320" s="40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4612000</v>
      </c>
      <c r="M320" s="133">
        <f t="shared" ca="1" si="207"/>
        <v>4398800</v>
      </c>
      <c r="N320" s="133">
        <f t="shared" ca="1" si="207"/>
        <v>4193515.12</v>
      </c>
      <c r="O320" s="133">
        <f t="shared" ref="O320:O328" ca="1" si="208">IF(L320&gt;0,N320*100/L320,0)</f>
        <v>90.926173460537726</v>
      </c>
      <c r="P320" s="133">
        <f t="shared" ref="P320:P328" ca="1" si="209">IF(M320&gt;0,N320*100/M320,0)</f>
        <v>95.333161771392199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4612000</v>
      </c>
      <c r="M322" s="47">
        <f t="shared" ca="1" si="213"/>
        <v>4398800</v>
      </c>
      <c r="N322" s="47">
        <f t="shared" ca="1" si="213"/>
        <v>4193515.12</v>
      </c>
      <c r="O322" s="47">
        <f t="shared" ca="1" si="208"/>
        <v>90.926173460537726</v>
      </c>
      <c r="P322" s="47">
        <f t="shared" ca="1" si="209"/>
        <v>95.333161771392199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125000</v>
      </c>
      <c r="M323" s="47">
        <f t="shared" ca="1" si="215"/>
        <v>125000</v>
      </c>
      <c r="N323" s="47">
        <f t="shared" ca="1" si="215"/>
        <v>90693.1</v>
      </c>
      <c r="O323" s="47">
        <f t="shared" ca="1" si="208"/>
        <v>72.554479999999998</v>
      </c>
      <c r="P323" s="47">
        <f t="shared" ca="1" si="209"/>
        <v>72.554479999999998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IFERROR(__xludf.DUMMYFUNCTION("IMPORTRANGE(""https://docs.google.com/spreadsheets/d/1-uDff_7J0KD5mKrp0Vvzr7lt3OU09vwQwhkpOPPYv2Y/edit?usp=sharing"",""งบพรบ!EN76"")"),125000)</f>
        <v>125000</v>
      </c>
      <c r="N325" s="47">
        <f ca="1">IFERROR(__xludf.DUMMYFUNCTION("IMPORTRANGE(""https://docs.google.com/spreadsheets/d/1-uDff_7J0KD5mKrp0Vvzr7lt3OU09vwQwhkpOPPYv2Y/edit?usp=sharing"",""งบพรบ!EP76"")"),90693.1)</f>
        <v>90693.1</v>
      </c>
      <c r="O325" s="47">
        <f t="shared" ca="1" si="208"/>
        <v>72.554479999999998</v>
      </c>
      <c r="P325" s="47">
        <f t="shared" ca="1" si="209"/>
        <v>72.554479999999998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4487000</v>
      </c>
      <c r="M326" s="47">
        <f t="shared" ca="1" si="217"/>
        <v>4273800</v>
      </c>
      <c r="N326" s="47">
        <f t="shared" ca="1" si="217"/>
        <v>4102822.02</v>
      </c>
      <c r="O326" s="47">
        <f t="shared" ca="1" si="208"/>
        <v>91.437976821930022</v>
      </c>
      <c r="P326" s="47">
        <f t="shared" ca="1" si="209"/>
        <v>95.999392110065983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IFERROR(__xludf.DUMMYFUNCTION("IMPORTRANGE(""https://docs.google.com/spreadsheets/d/1-uDff_7J0KD5mKrp0Vvzr7lt3OU09vwQwhkpOPPYv2Y/edit?usp=sharing"",""งบพรบ!EO76"")"),4273800)</f>
        <v>4273800</v>
      </c>
      <c r="N328" s="47">
        <f ca="1">IFERROR(__xludf.DUMMYFUNCTION("IMPORTRANGE(""https://docs.google.com/spreadsheets/d/1-uDff_7J0KD5mKrp0Vvzr7lt3OU09vwQwhkpOPPYv2Y/edit?usp=sharing"",""งบพรบ!EQ76"")"),4102822.02)</f>
        <v>4102822.02</v>
      </c>
      <c r="O328" s="47">
        <f t="shared" ca="1" si="208"/>
        <v>91.437976821930022</v>
      </c>
      <c r="P328" s="47">
        <f t="shared" ca="1" si="209"/>
        <v>95.999392110065983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x14ac:dyDescent="0.3">
      <c r="A329" s="139"/>
      <c r="B329" s="140"/>
      <c r="C329" s="40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IFERROR(__xludf.DUMMYFUNCTION("IMPORTRANGE(""https://docs.google.com/spreadsheets/d/1eHaY18a8A9IcSdp1K8H6x8fbOy06t2VsZHhMHf-1x7Y/edit?usp=sharing"",""แผน!EJ76"")"),1)</f>
        <v>1</v>
      </c>
      <c r="J330" s="169">
        <v>1</v>
      </c>
      <c r="K330" s="47">
        <f ca="1">IF(I330&gt;0,J330*100/I330,0)</f>
        <v>100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IFERROR(__xludf.DUMMYFUNCTION("IMPORTRANGE(""https://docs.google.com/spreadsheets/d/1eHaY18a8A9IcSdp1K8H6x8fbOy06t2VsZHhMHf-1x7Y/edit?usp=sharing"",""แผน!EK76"")"),3100)</f>
        <v>3100</v>
      </c>
      <c r="J332" s="718">
        <f ca="1">J344+J347+J348+J349+J353+J354</f>
        <v>14391</v>
      </c>
      <c r="K332" s="719">
        <f ca="1">IF(I332&gt;0,J332*100/I332,0)</f>
        <v>464.22580645161293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188000</v>
      </c>
      <c r="M333" s="133">
        <f t="shared" ca="1" si="219"/>
        <v>188000</v>
      </c>
      <c r="N333" s="133">
        <f t="shared" ca="1" si="219"/>
        <v>157232</v>
      </c>
      <c r="O333" s="133">
        <f t="shared" ref="O333:O341" ca="1" si="220">IF(L333&gt;0,N333*100/L333,0)</f>
        <v>83.634042553191492</v>
      </c>
      <c r="P333" s="133">
        <f t="shared" ref="P333:P341" ca="1" si="221">IF(M333&gt;0,N333*100/M333,0)</f>
        <v>83.634042553191492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188000</v>
      </c>
      <c r="M335" s="47">
        <f t="shared" ca="1" si="225"/>
        <v>188000</v>
      </c>
      <c r="N335" s="47">
        <f t="shared" ca="1" si="225"/>
        <v>157232</v>
      </c>
      <c r="O335" s="47">
        <f t="shared" ca="1" si="220"/>
        <v>83.634042553191492</v>
      </c>
      <c r="P335" s="47">
        <f t="shared" ca="1" si="221"/>
        <v>83.634042553191492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188000</v>
      </c>
      <c r="M336" s="47">
        <f t="shared" ca="1" si="227"/>
        <v>188000</v>
      </c>
      <c r="N336" s="47">
        <f t="shared" ca="1" si="227"/>
        <v>157232</v>
      </c>
      <c r="O336" s="47">
        <f t="shared" ca="1" si="220"/>
        <v>83.634042553191492</v>
      </c>
      <c r="P336" s="47">
        <f t="shared" ca="1" si="221"/>
        <v>83.634042553191492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IFERROR(__xludf.DUMMYFUNCTION("IMPORTRANGE(""https://docs.google.com/spreadsheets/d/1-uDff_7J0KD5mKrp0Vvzr7lt3OU09vwQwhkpOPPYv2Y/edit?usp=sharing"",""งบพรบ!EX76"")"),188000)</f>
        <v>188000</v>
      </c>
      <c r="N338" s="47">
        <f ca="1">IFERROR(__xludf.DUMMYFUNCTION("IMPORTRANGE(""https://docs.google.com/spreadsheets/d/1-uDff_7J0KD5mKrp0Vvzr7lt3OU09vwQwhkpOPPYv2Y/edit?usp=sharing"",""งบพรบ!EZ76"")"),157232)</f>
        <v>157232</v>
      </c>
      <c r="O338" s="47">
        <f t="shared" ca="1" si="220"/>
        <v>83.634042553191492</v>
      </c>
      <c r="P338" s="47">
        <f t="shared" ca="1" si="221"/>
        <v>83.634042553191492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6209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IFERROR(__xludf.DUMMYFUNCTION("IMPORTRANGE(""https://docs.google.com/spreadsheets/d/1awYsYK3VOup2i3Pq_Yjnu8DRu_mYwSBnCR2QPthd0rU/edit?usp=sharing"",""ศูนย์ยกเว้นโฉนด!D76"")"),6207)</f>
        <v>6207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IFERROR(__xludf.DUMMYFUNCTION("IMPORTRANGE(""https://docs.google.com/spreadsheets/d/1eHaY18a8A9IcSdp1K8H6x8fbOy06t2VsZHhMHf-1x7Y/edit?usp=sharing"",""แผน!EL76"")"),5)</f>
        <v>5</v>
      </c>
      <c r="J346" s="372">
        <f ca="1">IFERROR(__xludf.DUMMYFUNCTION("IMPORTRANGE(""https://docs.google.com/spreadsheets/d/1awYsYK3VOup2i3Pq_Yjnu8DRu_mYwSBnCR2QPthd0rU/edit?usp=sharing"",""ศูนย์รวม!E76"")"),6)</f>
        <v>6</v>
      </c>
      <c r="K346" s="47">
        <f ca="1">IF(I346&gt;0,J346*100/I346,0)</f>
        <v>120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8182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IFERROR(__xludf.DUMMYFUNCTION("IMPORTRANGE(""https://docs.google.com/spreadsheets/d/1awYsYK3VOup2i3Pq_Yjnu8DRu_mYwSBnCR2QPthd0rU/edit?usp=sharing"",""โฉนดM3!G76"")"),842)</f>
        <v>842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IFERROR(__xludf.DUMMYFUNCTION("IMPORTRANGE(""https://docs.google.com/spreadsheets/d/1awYsYK3VOup2i3Pq_Yjnu8DRu_mYwSBnCR2QPthd0rU/edit?usp=sharing"",""โฉนดM3!H76"")"),7727)</f>
        <v>7727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IFERROR(__xludf.DUMMYFUNCTION("IMPORTRANGE(""https://docs.google.com/spreadsheets/d/1awYsYK3VOup2i3Pq_Yjnu8DRu_mYwSBnCR2QPthd0rU/edit?usp=sharing"",""โฉนดM3!I76"")"),455)</f>
        <v>455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770060</v>
      </c>
      <c r="M356" s="133">
        <f t="shared" ca="1" si="231"/>
        <v>869960</v>
      </c>
      <c r="N356" s="133">
        <f t="shared" ca="1" si="231"/>
        <v>732513.73</v>
      </c>
      <c r="O356" s="133">
        <f t="shared" ref="O356:O364" ca="1" si="232">IF(L356&gt;0,N356*100/L356,0)</f>
        <v>95.124240968236236</v>
      </c>
      <c r="P356" s="133">
        <f t="shared" ref="P356:P364" ca="1" si="233">IF(M356&gt;0,N356*100/M356,0)</f>
        <v>84.200851763299468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770060</v>
      </c>
      <c r="M358" s="47">
        <f t="shared" ca="1" si="237"/>
        <v>869960</v>
      </c>
      <c r="N358" s="47">
        <f t="shared" ca="1" si="237"/>
        <v>732513.73</v>
      </c>
      <c r="O358" s="47">
        <f t="shared" ca="1" si="232"/>
        <v>95.124240968236236</v>
      </c>
      <c r="P358" s="47">
        <f t="shared" ca="1" si="233"/>
        <v>84.200851763299468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770060</v>
      </c>
      <c r="M359" s="47">
        <f t="shared" ca="1" si="239"/>
        <v>869960</v>
      </c>
      <c r="N359" s="47">
        <f t="shared" ca="1" si="239"/>
        <v>732513.73</v>
      </c>
      <c r="O359" s="47">
        <f t="shared" ca="1" si="232"/>
        <v>95.124240968236236</v>
      </c>
      <c r="P359" s="47">
        <f t="shared" ca="1" si="233"/>
        <v>84.200851763299468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IFERROR(__xludf.DUMMYFUNCTION("IMPORTRANGE(""https://docs.google.com/spreadsheets/d/1-uDff_7J0KD5mKrp0Vvzr7lt3OU09vwQwhkpOPPYv2Y/edit?usp=sharing"",""งบพรบ!FH76"")"),869960)</f>
        <v>869960</v>
      </c>
      <c r="N361" s="47">
        <f ca="1">IFERROR(__xludf.DUMMYFUNCTION("IMPORTRANGE(""https://docs.google.com/spreadsheets/d/1-uDff_7J0KD5mKrp0Vvzr7lt3OU09vwQwhkpOPPYv2Y/edit?usp=sharing"",""งบพรบ!FJ76"")"),732513.73)</f>
        <v>732513.73</v>
      </c>
      <c r="O361" s="47">
        <f t="shared" ca="1" si="232"/>
        <v>95.124240968236236</v>
      </c>
      <c r="P361" s="47">
        <f t="shared" ca="1" si="233"/>
        <v>84.200851763299468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495</v>
      </c>
      <c r="J365" s="236">
        <f t="shared" ca="1" si="243"/>
        <v>523</v>
      </c>
      <c r="K365" s="237">
        <f ca="1">IF(I365&gt;0,J365*100/I365,0)</f>
        <v>105.65656565656566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IFERROR(__xludf.DUMMYFUNCTION("IMPORTRANGE(""https://docs.google.com/spreadsheets/d/1tdoBKaGub7dwA3U6UFTqxio9LNnvDCQjHKmttSEBsFQ/edit?usp=sharing"",""จัดที่ดิน!AB76"")"),270)</f>
        <v>270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IFERROR(__xludf.DUMMYFUNCTION("IMPORTRANGE(""https://docs.google.com/spreadsheets/d/1eHaY18a8A9IcSdp1K8H6x8fbOy06t2VsZHhMHf-1x7Y/edit?usp=sharing"",""แผน!EW76"")"),1900)</f>
        <v>1900</v>
      </c>
      <c r="J368" s="729">
        <f ca="1">IFERROR(__xludf.DUMMYFUNCTION("IMPORTRANGE(""https://docs.google.com/spreadsheets/d/1tdoBKaGub7dwA3U6UFTqxio9LNnvDCQjHKmttSEBsFQ/edit?usp=sharing"",""จัดที่ดิน!AC76"")"),2262.1)</f>
        <v>2262.1</v>
      </c>
      <c r="K368" s="47">
        <f t="shared" ca="1" si="244"/>
        <v>119.0578947368421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IFERROR(__xludf.DUMMYFUNCTION("IMPORTRANGE(""https://docs.google.com/spreadsheets/d/1eHaY18a8A9IcSdp1K8H6x8fbOy06t2VsZHhMHf-1x7Y/edit?usp=sharing"",""แผน!EX76"")"),495)</f>
        <v>495</v>
      </c>
      <c r="J369" s="372">
        <f ca="1">IFERROR(__xludf.DUMMYFUNCTION("IMPORTRANGE(""https://docs.google.com/spreadsheets/d/1tdoBKaGub7dwA3U6UFTqxio9LNnvDCQjHKmttSEBsFQ/edit?usp=sharing"",""จัดที่ดิน!AD76"")"),680)</f>
        <v>680</v>
      </c>
      <c r="K369" s="47">
        <f t="shared" ca="1" si="244"/>
        <v>137.37373737373738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IFERROR(__xludf.DUMMYFUNCTION("IMPORTRANGE(""https://docs.google.com/spreadsheets/d/1tdoBKaGub7dwA3U6UFTqxio9LNnvDCQjHKmttSEBsFQ/edit?usp=sharing"",""จัดที่ดิน!AE76"")"),7983.47)</f>
        <v>7983.47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IFERROR(__xludf.DUMMYFUNCTION("IMPORTRANGE(""https://docs.google.com/spreadsheets/d/1eHaY18a8A9IcSdp1K8H6x8fbOy06t2VsZHhMHf-1x7Y/edit?usp=sharing"",""แผน!EY76"")"),495)</f>
        <v>495</v>
      </c>
      <c r="J371" s="372">
        <f ca="1">IFERROR(__xludf.DUMMYFUNCTION("IMPORTRANGE(""https://docs.google.com/spreadsheets/d/1tdoBKaGub7dwA3U6UFTqxio9LNnvDCQjHKmttSEBsFQ/edit?usp=sharing"",""จัดที่ดิน!AF76"")"),523)</f>
        <v>523</v>
      </c>
      <c r="K371" s="47">
        <f t="shared" ca="1" si="244"/>
        <v>105.65656565656566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IFERROR(__xludf.DUMMYFUNCTION("IMPORTRANGE(""https://docs.google.com/spreadsheets/d/1tdoBKaGub7dwA3U6UFTqxio9LNnvDCQjHKmttSEBsFQ/edit?usp=sharing"",""จัดที่ดิน!AG76"")"),6653.15)</f>
        <v>6653.15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1000</v>
      </c>
      <c r="J374" s="737">
        <f t="shared" ca="1" si="245"/>
        <v>376</v>
      </c>
      <c r="K374" s="738">
        <f ca="1">IF(I374&gt;0,J374*100/I374,0)</f>
        <v>37.6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43900</v>
      </c>
      <c r="M375" s="133">
        <f t="shared" ca="1" si="246"/>
        <v>43900</v>
      </c>
      <c r="N375" s="133">
        <f t="shared" ca="1" si="246"/>
        <v>29505</v>
      </c>
      <c r="O375" s="133">
        <f t="shared" ref="O375:O383" ca="1" si="247">IF(L375&gt;0,N375*100/L375,0)</f>
        <v>67.20956719817768</v>
      </c>
      <c r="P375" s="133">
        <f t="shared" ref="P375:P383" ca="1" si="248">IF(M375&gt;0,N375*100/M375,0)</f>
        <v>67.20956719817768</v>
      </c>
      <c r="Q375" s="133">
        <f t="shared" ref="Q375:S375" ca="1" si="249">Q376+Q377</f>
        <v>125000</v>
      </c>
      <c r="R375" s="133">
        <f t="shared" ca="1" si="249"/>
        <v>62500</v>
      </c>
      <c r="S375" s="133">
        <f t="shared" ca="1" si="249"/>
        <v>4140</v>
      </c>
      <c r="T375" s="133">
        <f t="shared" ref="T375:T383" ca="1" si="250">IF(Q375&gt;0,S375*100/Q375,0)</f>
        <v>3.3119999999999998</v>
      </c>
      <c r="U375" s="133">
        <f t="shared" ref="U375:U383" ca="1" si="251">IF(R375&gt;0,S375*100/R375,0)</f>
        <v>6.6239999999999997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43900</v>
      </c>
      <c r="M377" s="47">
        <f t="shared" ca="1" si="252"/>
        <v>43900</v>
      </c>
      <c r="N377" s="47">
        <f t="shared" ca="1" si="252"/>
        <v>29505</v>
      </c>
      <c r="O377" s="47">
        <f t="shared" ca="1" si="247"/>
        <v>67.20956719817768</v>
      </c>
      <c r="P377" s="47">
        <f t="shared" ca="1" si="248"/>
        <v>67.20956719817768</v>
      </c>
      <c r="Q377" s="47">
        <f t="shared" ca="1" si="253"/>
        <v>125000</v>
      </c>
      <c r="R377" s="47">
        <f t="shared" ca="1" si="253"/>
        <v>62500</v>
      </c>
      <c r="S377" s="47">
        <f t="shared" ca="1" si="253"/>
        <v>4140</v>
      </c>
      <c r="T377" s="47">
        <f t="shared" ca="1" si="250"/>
        <v>3.3119999999999998</v>
      </c>
      <c r="U377" s="47">
        <f t="shared" ca="1" si="251"/>
        <v>6.6239999999999997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43900</v>
      </c>
      <c r="M378" s="47">
        <f t="shared" ca="1" si="254"/>
        <v>43900</v>
      </c>
      <c r="N378" s="47">
        <f t="shared" ca="1" si="254"/>
        <v>29505</v>
      </c>
      <c r="O378" s="47">
        <f t="shared" ca="1" si="247"/>
        <v>67.20956719817768</v>
      </c>
      <c r="P378" s="47">
        <f t="shared" ca="1" si="248"/>
        <v>67.20956719817768</v>
      </c>
      <c r="Q378" s="47">
        <f t="shared" ref="Q378:S378" ca="1" si="255">Q379+Q380</f>
        <v>125000</v>
      </c>
      <c r="R378" s="47">
        <f t="shared" ca="1" si="255"/>
        <v>62500</v>
      </c>
      <c r="S378" s="47">
        <f t="shared" ca="1" si="255"/>
        <v>4140</v>
      </c>
      <c r="T378" s="47">
        <f t="shared" ca="1" si="250"/>
        <v>3.3119999999999998</v>
      </c>
      <c r="U378" s="47">
        <f t="shared" ca="1" si="251"/>
        <v>6.6239999999999997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IFERROR(__xludf.DUMMYFUNCTION("IMPORTRANGE(""https://docs.google.com/spreadsheets/d/1-uDff_7J0KD5mKrp0Vvzr7lt3OU09vwQwhkpOPPYv2Y/edit?usp=sharing"",""งบพรบ!IL76"")"),29505)</f>
        <v>29505</v>
      </c>
      <c r="O380" s="47">
        <f t="shared" ca="1" si="247"/>
        <v>67.20956719817768</v>
      </c>
      <c r="P380" s="47">
        <f t="shared" ca="1" si="248"/>
        <v>67.20956719817768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IFERROR(__xludf.DUMMYFUNCTION("IMPORTRANGE(""https://docs.google.com/spreadsheets/d/1ItG2mGa2ceCfYo0BwxsXqNm01IGEUdYcSSLTEv9YCik/edit?usp=sharing"",""เบิกจ่ายกองทุน!BY76"")"),4140)</f>
        <v>4140</v>
      </c>
      <c r="T380" s="47">
        <f t="shared" ca="1" si="250"/>
        <v>3.3119999999999998</v>
      </c>
      <c r="U380" s="47">
        <f t="shared" ca="1" si="251"/>
        <v>6.6239999999999997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IFERROR(__xludf.DUMMYFUNCTION("IMPORTRANGE(""https://docs.google.com/spreadsheets/d/1w5rwWK1o49a35cNtocGL0gxDwhFSTZUQu90BiH9_zqM/edit?usp=sharing"",""RTK!H76"")"),14)</f>
        <v>14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IFERROR(__xludf.DUMMYFUNCTION("IMPORTRANGE(""https://docs.google.com/spreadsheets/d/1w5rwWK1o49a35cNtocGL0gxDwhFSTZUQu90BiH9_zqM/edit?usp=sharing"",""RTK!G76"")"),1000)</f>
        <v>1000</v>
      </c>
      <c r="J386" s="372">
        <f ca="1">IFERROR(__xludf.DUMMYFUNCTION("IMPORTRANGE(""https://docs.google.com/spreadsheets/d/1w5rwWK1o49a35cNtocGL0gxDwhFSTZUQu90BiH9_zqM/edit?usp=sharing"",""RTK!I76"")"),376)</f>
        <v>376</v>
      </c>
      <c r="K386" s="47">
        <f t="shared" ca="1" si="258"/>
        <v>37.6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IFERROR(__xludf.DUMMYFUNCTION("IMPORTRANGE(""https://docs.google.com/spreadsheets/d/1w5rwWK1o49a35cNtocGL0gxDwhFSTZUQu90BiH9_zqM/edit?usp=sharing"",""RTK!L76"")"),0)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IFERROR(__xludf.DUMMYFUNCTION("IMPORTRANGE(""https://docs.google.com/spreadsheets/d/1w5rwWK1o49a35cNtocGL0gxDwhFSTZUQu90BiH9_zqM/edit?usp=sharing"",""RTK!K76"")"),0)</f>
        <v>0</v>
      </c>
      <c r="J388" s="351">
        <f ca="1">IFERROR(__xludf.DUMMYFUNCTION("IMPORTRANGE(""https://docs.google.com/spreadsheets/d/1w5rwWK1o49a35cNtocGL0gxDwhFSTZUQu90BiH9_zqM/edit?usp=sharing"",""RTK!M76"")"),0)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0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170340</v>
      </c>
      <c r="M413" s="133">
        <f t="shared" ca="1" si="273"/>
        <v>420340</v>
      </c>
      <c r="N413" s="133">
        <f t="shared" ca="1" si="273"/>
        <v>362211</v>
      </c>
      <c r="O413" s="133">
        <f t="shared" ref="O413:O421" ca="1" si="274">IF(L413&gt;0,N413*100/L413,0)</f>
        <v>212.64001408946811</v>
      </c>
      <c r="P413" s="133">
        <f t="shared" ref="P413:P421" ca="1" si="275">IF(M413&gt;0,N413*100/M413,0)</f>
        <v>86.170956844459241</v>
      </c>
      <c r="Q413" s="133">
        <f t="shared" ref="Q413:S413" ca="1" si="276">Q414+Q415</f>
        <v>18050</v>
      </c>
      <c r="R413" s="133">
        <f t="shared" ca="1" si="276"/>
        <v>18050</v>
      </c>
      <c r="S413" s="133">
        <f t="shared" ca="1" si="276"/>
        <v>15570</v>
      </c>
      <c r="T413" s="133">
        <f t="shared" ref="T413:T421" ca="1" si="277">IF(Q413&gt;0,S413*100/Q413,0)</f>
        <v>86.260387811634345</v>
      </c>
      <c r="U413" s="133">
        <f t="shared" ref="U413:U421" ca="1" si="278">IF(R413&gt;0,S413*100/R413,0)</f>
        <v>86.260387811634345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170340</v>
      </c>
      <c r="M415" s="47">
        <f t="shared" ca="1" si="279"/>
        <v>420340</v>
      </c>
      <c r="N415" s="47">
        <f t="shared" ca="1" si="279"/>
        <v>362211</v>
      </c>
      <c r="O415" s="47">
        <f t="shared" ca="1" si="274"/>
        <v>212.64001408946811</v>
      </c>
      <c r="P415" s="47">
        <f t="shared" ca="1" si="275"/>
        <v>86.170956844459241</v>
      </c>
      <c r="Q415" s="47">
        <f t="shared" ca="1" si="280"/>
        <v>18050</v>
      </c>
      <c r="R415" s="47">
        <f t="shared" ca="1" si="280"/>
        <v>18050</v>
      </c>
      <c r="S415" s="47">
        <f t="shared" ca="1" si="280"/>
        <v>15570</v>
      </c>
      <c r="T415" s="47">
        <f t="shared" ca="1" si="277"/>
        <v>86.260387811634345</v>
      </c>
      <c r="U415" s="47">
        <f t="shared" ca="1" si="278"/>
        <v>86.260387811634345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170340</v>
      </c>
      <c r="M416" s="47">
        <f t="shared" ca="1" si="281"/>
        <v>420340</v>
      </c>
      <c r="N416" s="47">
        <f t="shared" ca="1" si="281"/>
        <v>362211</v>
      </c>
      <c r="O416" s="47">
        <f t="shared" ca="1" si="274"/>
        <v>212.64001408946811</v>
      </c>
      <c r="P416" s="47">
        <f t="shared" ca="1" si="275"/>
        <v>86.170956844459241</v>
      </c>
      <c r="Q416" s="47">
        <f t="shared" ref="Q416:S416" ca="1" si="282">Q417+Q418</f>
        <v>18050</v>
      </c>
      <c r="R416" s="47">
        <f t="shared" ca="1" si="282"/>
        <v>18050</v>
      </c>
      <c r="S416" s="47">
        <f t="shared" ca="1" si="282"/>
        <v>15570</v>
      </c>
      <c r="T416" s="47">
        <f t="shared" ca="1" si="277"/>
        <v>86.260387811634345</v>
      </c>
      <c r="U416" s="47">
        <f t="shared" ca="1" si="278"/>
        <v>86.260387811634345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IFERROR(__xludf.DUMMYFUNCTION("IMPORTRANGE(""https://docs.google.com/spreadsheets/d/1-uDff_7J0KD5mKrp0Vvzr7lt3OU09vwQwhkpOPPYv2Y/edit?usp=sharing"",""งบพรบ!IT76"")"),420340)</f>
        <v>420340</v>
      </c>
      <c r="N418" s="47">
        <f ca="1">IFERROR(__xludf.DUMMYFUNCTION("IMPORTRANGE(""https://docs.google.com/spreadsheets/d/1-uDff_7J0KD5mKrp0Vvzr7lt3OU09vwQwhkpOPPYv2Y/edit?usp=sharing"",""งบพรบ!IV76"")"),362211)</f>
        <v>362211</v>
      </c>
      <c r="O418" s="47">
        <f t="shared" ca="1" si="274"/>
        <v>212.64001408946811</v>
      </c>
      <c r="P418" s="47">
        <f t="shared" ca="1" si="275"/>
        <v>86.170956844459241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IFERROR(__xludf.DUMMYFUNCTION("IMPORTRANGE(""https://docs.google.com/spreadsheets/d/1ItG2mGa2ceCfYo0BwxsXqNm01IGEUdYcSSLTEv9YCik/edit?usp=sharing"",""เบิกจ่ายกองทุน!CB76"")"),15570)</f>
        <v>15570</v>
      </c>
      <c r="T418" s="47">
        <f t="shared" ca="1" si="277"/>
        <v>86.260387811634345</v>
      </c>
      <c r="U418" s="47">
        <f t="shared" ca="1" si="278"/>
        <v>86.260387811634345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5">I440</f>
        <v>0</v>
      </c>
      <c r="J423" s="749">
        <f t="shared" si="285"/>
        <v>0</v>
      </c>
      <c r="K423" s="489">
        <f t="shared" ref="K423:K425" ca="1" si="286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IFERROR(__xludf.DUMMYFUNCTION("IMPORTRANGE(""https://docs.google.com/spreadsheets/d/1eHaY18a8A9IcSdp1K8H6x8fbOy06t2VsZHhMHf-1x7Y/edit?usp=sharing"",""แผน!HJ76"")"),0)</f>
        <v>0</v>
      </c>
      <c r="J424" s="751">
        <f t="shared" ref="J424:J425" si="287">J426+J428+J430</f>
        <v>0</v>
      </c>
      <c r="K424" s="133">
        <f t="shared" ca="1" si="286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IFERROR(__xludf.DUMMYFUNCTION("IMPORTRANGE(""https://docs.google.com/spreadsheets/d/1eHaY18a8A9IcSdp1K8H6x8fbOy06t2VsZHhMHf-1x7Y/edit?usp=sharing"",""แผน!HK76"")"),0)</f>
        <v>0</v>
      </c>
      <c r="J425" s="751">
        <f t="shared" si="287"/>
        <v>0</v>
      </c>
      <c r="K425" s="133">
        <f t="shared" ca="1" si="286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IFERROR(__xludf.DUMMYFUNCTION("IMPORTRANGE(""https://docs.google.com/spreadsheets/d/1eHaY18a8A9IcSdp1K8H6x8fbOy06t2VsZHhMHf-1x7Y/edit?usp=sharing"",""แผน!HJ76"")"),0)</f>
        <v>0</v>
      </c>
      <c r="J432" s="751">
        <f t="shared" ref="J432:J433" si="288">J434+J436+J438</f>
        <v>0</v>
      </c>
      <c r="K432" s="133">
        <f t="shared" ref="K432:K433" ca="1" si="289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IFERROR(__xludf.DUMMYFUNCTION("IMPORTRANGE(""https://docs.google.com/spreadsheets/d/1eHaY18a8A9IcSdp1K8H6x8fbOy06t2VsZHhMHf-1x7Y/edit?usp=sharing"",""แผน!HK76"")"),0)</f>
        <v>0</v>
      </c>
      <c r="J433" s="751">
        <f t="shared" si="288"/>
        <v>0</v>
      </c>
      <c r="K433" s="133">
        <f t="shared" ca="1" si="289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IFERROR(__xludf.DUMMYFUNCTION("IMPORTRANGE(""https://docs.google.com/spreadsheets/d/1eHaY18a8A9IcSdp1K8H6x8fbOy06t2VsZHhMHf-1x7Y/edit?usp=sharing"",""แผน!HJ76"")"),0)</f>
        <v>0</v>
      </c>
      <c r="J440" s="751">
        <f t="shared" ref="J440:J441" si="290">J442+J444+J446+J452+J454</f>
        <v>0</v>
      </c>
      <c r="K440" s="133">
        <f t="shared" ref="K440:K441" ca="1" si="291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IFERROR(__xludf.DUMMYFUNCTION("IMPORTRANGE(""https://docs.google.com/spreadsheets/d/1eHaY18a8A9IcSdp1K8H6x8fbOy06t2VsZHhMHf-1x7Y/edit?usp=sharing"",""แผน!HK76"")"),0)</f>
        <v>0</v>
      </c>
      <c r="J441" s="751">
        <f t="shared" si="290"/>
        <v>0</v>
      </c>
      <c r="K441" s="133">
        <f t="shared" ca="1" si="291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2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2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3">I457</f>
        <v>5330.77</v>
      </c>
      <c r="J456" s="754">
        <f t="shared" si="293"/>
        <v>0</v>
      </c>
      <c r="K456" s="489">
        <f t="shared" ref="K456:K458" ca="1" si="294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IFERROR(__xludf.DUMMYFUNCTION("IMPORTRANGE(""https://docs.google.com/spreadsheets/d/1eHaY18a8A9IcSdp1K8H6x8fbOy06t2VsZHhMHf-1x7Y/edit?usp=sharing"",""แผน!HL76"")"),5330.77)</f>
        <v>5330.77</v>
      </c>
      <c r="J457" s="751">
        <f t="shared" ref="J457:J458" si="295">J459+J467+J473</f>
        <v>0</v>
      </c>
      <c r="K457" s="133">
        <f t="shared" ca="1" si="294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IFERROR(__xludf.DUMMYFUNCTION("IMPORTRANGE(""https://docs.google.com/spreadsheets/d/1eHaY18a8A9IcSdp1K8H6x8fbOy06t2VsZHhMHf-1x7Y/edit?usp=sharing"",""แผน!HM76"")"),424)</f>
        <v>424</v>
      </c>
      <c r="J458" s="751">
        <f t="shared" si="295"/>
        <v>0</v>
      </c>
      <c r="K458" s="133">
        <f t="shared" ca="1" si="294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6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6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7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7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8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9">J478+J480</f>
        <v>0</v>
      </c>
      <c r="K476" s="764">
        <f t="shared" si="298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9"/>
        <v>0</v>
      </c>
      <c r="K477" s="764">
        <f t="shared" si="298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300">J480</f>
        <v>0</v>
      </c>
      <c r="J484" s="763">
        <f t="shared" ref="J484:J485" si="301">J486+J488+J490</f>
        <v>0</v>
      </c>
      <c r="K484" s="764">
        <f t="shared" ref="K484:K485" si="302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300"/>
        <v>0</v>
      </c>
      <c r="J485" s="763">
        <f t="shared" si="301"/>
        <v>0</v>
      </c>
      <c r="K485" s="764">
        <f t="shared" si="302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3">I503</f>
        <v>50</v>
      </c>
      <c r="J492" s="321">
        <f t="shared" si="303"/>
        <v>50</v>
      </c>
      <c r="K492" s="322">
        <f ca="1">IF(I492&gt;0,J492*100/I492,0)</f>
        <v>100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x14ac:dyDescent="0.3">
      <c r="A493" s="129"/>
      <c r="B493" s="160"/>
      <c r="C493" s="409" t="s">
        <v>18</v>
      </c>
      <c r="D493" s="770" t="s">
        <v>19</v>
      </c>
      <c r="E493" s="552"/>
      <c r="F493" s="552"/>
      <c r="G493" s="553"/>
      <c r="H493" s="240" t="s">
        <v>14</v>
      </c>
      <c r="I493" s="45"/>
      <c r="J493" s="45"/>
      <c r="K493" s="46"/>
      <c r="L493" s="617">
        <f t="shared" ref="L493:N493" ca="1" si="304">L494+L495</f>
        <v>28100</v>
      </c>
      <c r="M493" s="133">
        <f t="shared" ca="1" si="304"/>
        <v>28100</v>
      </c>
      <c r="N493" s="133">
        <f t="shared" ca="1" si="304"/>
        <v>28100</v>
      </c>
      <c r="O493" s="133">
        <f t="shared" ref="O493:O501" ca="1" si="305">IF(L493&gt;0,N493*100/L493,0)</f>
        <v>100</v>
      </c>
      <c r="P493" s="133">
        <f t="shared" ref="P493:P501" ca="1" si="306">IF(M493&gt;0,N493*100/M493,0)</f>
        <v>100</v>
      </c>
      <c r="Q493" s="133">
        <f t="shared" ref="Q493:S493" ca="1" si="307">Q494+Q495</f>
        <v>648025</v>
      </c>
      <c r="R493" s="133">
        <f t="shared" ca="1" si="307"/>
        <v>655725</v>
      </c>
      <c r="S493" s="133">
        <f t="shared" ca="1" si="307"/>
        <v>633253</v>
      </c>
      <c r="T493" s="133">
        <f t="shared" ref="T493:T501" ca="1" si="308">IF(Q493&gt;0,S493*100/Q493,0)</f>
        <v>97.720458315651399</v>
      </c>
      <c r="U493" s="133">
        <f t="shared" ref="U493:U501" ca="1" si="309">IF(R493&gt;0,S493*100/R493,0)</f>
        <v>96.572953600976021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10">L497+L500</f>
        <v>0</v>
      </c>
      <c r="M494" s="49">
        <f t="shared" si="310"/>
        <v>0</v>
      </c>
      <c r="N494" s="49">
        <f t="shared" si="310"/>
        <v>0</v>
      </c>
      <c r="O494" s="49">
        <f t="shared" si="305"/>
        <v>0</v>
      </c>
      <c r="P494" s="49">
        <f t="shared" si="306"/>
        <v>0</v>
      </c>
      <c r="Q494" s="49">
        <f t="shared" ref="Q494:S495" si="311">Q497+Q500</f>
        <v>0</v>
      </c>
      <c r="R494" s="49">
        <f t="shared" si="311"/>
        <v>0</v>
      </c>
      <c r="S494" s="49">
        <f t="shared" si="311"/>
        <v>0</v>
      </c>
      <c r="T494" s="49">
        <f t="shared" si="308"/>
        <v>0</v>
      </c>
      <c r="U494" s="49">
        <f t="shared" si="309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10"/>
        <v>28100</v>
      </c>
      <c r="M495" s="47">
        <f t="shared" ca="1" si="310"/>
        <v>28100</v>
      </c>
      <c r="N495" s="47">
        <f t="shared" ca="1" si="310"/>
        <v>28100</v>
      </c>
      <c r="O495" s="47">
        <f t="shared" ca="1" si="305"/>
        <v>100</v>
      </c>
      <c r="P495" s="47">
        <f t="shared" ca="1" si="306"/>
        <v>100</v>
      </c>
      <c r="Q495" s="47">
        <f t="shared" ca="1" si="311"/>
        <v>648025</v>
      </c>
      <c r="R495" s="47">
        <f t="shared" ca="1" si="311"/>
        <v>655725</v>
      </c>
      <c r="S495" s="47">
        <f t="shared" ca="1" si="311"/>
        <v>633253</v>
      </c>
      <c r="T495" s="47">
        <f t="shared" ca="1" si="308"/>
        <v>97.720458315651399</v>
      </c>
      <c r="U495" s="47">
        <f t="shared" ca="1" si="309"/>
        <v>96.572953600976021</v>
      </c>
    </row>
    <row r="496" spans="1:21" ht="18.75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2">L497+L498</f>
        <v>28100</v>
      </c>
      <c r="M496" s="47">
        <f t="shared" ca="1" si="312"/>
        <v>28100</v>
      </c>
      <c r="N496" s="47">
        <f t="shared" ca="1" si="312"/>
        <v>28100</v>
      </c>
      <c r="O496" s="47">
        <f t="shared" ca="1" si="305"/>
        <v>100</v>
      </c>
      <c r="P496" s="47">
        <f t="shared" ca="1" si="306"/>
        <v>100</v>
      </c>
      <c r="Q496" s="47">
        <f t="shared" ref="Q496:S496" ca="1" si="313">Q497+Q498</f>
        <v>648025</v>
      </c>
      <c r="R496" s="47">
        <f t="shared" ca="1" si="313"/>
        <v>655725</v>
      </c>
      <c r="S496" s="47">
        <f t="shared" ca="1" si="313"/>
        <v>633253</v>
      </c>
      <c r="T496" s="47">
        <f t="shared" ca="1" si="308"/>
        <v>97.720458315651399</v>
      </c>
      <c r="U496" s="47">
        <f t="shared" ca="1" si="309"/>
        <v>96.572953600976021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5"/>
        <v>0</v>
      </c>
      <c r="P497" s="49">
        <f t="shared" si="306"/>
        <v>0</v>
      </c>
      <c r="Q497" s="49">
        <v>0</v>
      </c>
      <c r="R497" s="49">
        <v>0</v>
      </c>
      <c r="S497" s="49">
        <v>0</v>
      </c>
      <c r="T497" s="49">
        <f t="shared" si="308"/>
        <v>0</v>
      </c>
      <c r="U497" s="49">
        <f t="shared" si="309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IFERROR(__xludf.DUMMYFUNCTION("IMPORTRANGE(""https://docs.google.com/spreadsheets/d/1-uDff_7J0KD5mKrp0Vvzr7lt3OU09vwQwhkpOPPYv2Y/edit?usp=sharing"",""งบพรบ!HZ76"")"),28100)</f>
        <v>28100</v>
      </c>
      <c r="N498" s="47">
        <f ca="1">IFERROR(__xludf.DUMMYFUNCTION("IMPORTRANGE(""https://docs.google.com/spreadsheets/d/1-uDff_7J0KD5mKrp0Vvzr7lt3OU09vwQwhkpOPPYv2Y/edit?usp=sharing"",""งบพรบ!IB76"")"),28100)</f>
        <v>28100</v>
      </c>
      <c r="O498" s="47">
        <f t="shared" ca="1" si="305"/>
        <v>100</v>
      </c>
      <c r="P498" s="47">
        <f t="shared" ca="1" si="306"/>
        <v>100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IFERROR(__xludf.DUMMYFUNCTION("IMPORTRANGE(""https://docs.google.com/spreadsheets/d/1ItG2mGa2ceCfYo0BwxsXqNm01IGEUdYcSSLTEv9YCik/edit?usp=sharing"",""เบิกจ่ายกองทุน!AE76"")"),655725)</f>
        <v>655725</v>
      </c>
      <c r="S498" s="47">
        <f ca="1">IFERROR(__xludf.DUMMYFUNCTION("IMPORTRANGE(""https://docs.google.com/spreadsheets/d/1ItG2mGa2ceCfYo0BwxsXqNm01IGEUdYcSSLTEv9YCik/edit?usp=sharing"",""เบิกจ่ายกองทุน!AF76"")"),633253)</f>
        <v>633253</v>
      </c>
      <c r="T498" s="47">
        <f t="shared" ca="1" si="308"/>
        <v>97.720458315651399</v>
      </c>
      <c r="U498" s="47">
        <f t="shared" ca="1" si="309"/>
        <v>96.572953600976021</v>
      </c>
    </row>
    <row r="499" spans="1:21" ht="18.75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4">L500+L501</f>
        <v>0</v>
      </c>
      <c r="M499" s="47">
        <f t="shared" ca="1" si="314"/>
        <v>0</v>
      </c>
      <c r="N499" s="47">
        <f t="shared" ca="1" si="314"/>
        <v>0</v>
      </c>
      <c r="O499" s="47">
        <f t="shared" ca="1" si="305"/>
        <v>0</v>
      </c>
      <c r="P499" s="47">
        <f t="shared" ca="1" si="306"/>
        <v>0</v>
      </c>
      <c r="Q499" s="47">
        <f t="shared" ref="Q499:S499" si="315">Q500+Q501</f>
        <v>0</v>
      </c>
      <c r="R499" s="47">
        <f t="shared" si="315"/>
        <v>0</v>
      </c>
      <c r="S499" s="47">
        <f t="shared" si="315"/>
        <v>0</v>
      </c>
      <c r="T499" s="47">
        <f t="shared" si="308"/>
        <v>0</v>
      </c>
      <c r="U499" s="47">
        <f t="shared" si="309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5"/>
        <v>0</v>
      </c>
      <c r="P500" s="49">
        <f t="shared" si="306"/>
        <v>0</v>
      </c>
      <c r="Q500" s="49">
        <v>0</v>
      </c>
      <c r="R500" s="49">
        <v>0</v>
      </c>
      <c r="S500" s="49">
        <v>0</v>
      </c>
      <c r="T500" s="49">
        <f t="shared" si="308"/>
        <v>0</v>
      </c>
      <c r="U500" s="49">
        <f t="shared" si="309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t="shared" ca="1" si="305"/>
        <v>0</v>
      </c>
      <c r="P501" s="47">
        <f t="shared" ca="1" si="306"/>
        <v>0</v>
      </c>
      <c r="Q501" s="47">
        <v>0</v>
      </c>
      <c r="R501" s="47">
        <v>0</v>
      </c>
      <c r="S501" s="47">
        <v>0</v>
      </c>
      <c r="T501" s="47">
        <f t="shared" si="308"/>
        <v>0</v>
      </c>
      <c r="U501" s="47">
        <f t="shared" si="309"/>
        <v>0</v>
      </c>
    </row>
    <row r="502" spans="1:21" ht="19.5" x14ac:dyDescent="0.3">
      <c r="A502" s="139"/>
      <c r="B502" s="140"/>
      <c r="C502" s="409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IFERROR(__xludf.DUMMYFUNCTION("IMPORTRANGE(""https://docs.google.com/spreadsheets/d/1eHaY18a8A9IcSdp1K8H6x8fbOy06t2VsZHhMHf-1x7Y/edit?usp=sharing"",""แผน!GX76"")"),50)</f>
        <v>50</v>
      </c>
      <c r="J503" s="371">
        <f>J504</f>
        <v>50</v>
      </c>
      <c r="K503" s="133">
        <f t="shared" ref="K503:K509" ca="1" si="316">IF(I503&gt;0,J503*100/I503,0)</f>
        <v>100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IFERROR(__xludf.DUMMYFUNCTION("IMPORTRANGE(""https://docs.google.com/spreadsheets/d/1eHaY18a8A9IcSdp1K8H6x8fbOy06t2VsZHhMHf-1x7Y/edit?usp=sharing"",""แผน!GY76"")"),50)</f>
        <v>50</v>
      </c>
      <c r="J504" s="169">
        <v>50</v>
      </c>
      <c r="K504" s="47">
        <f t="shared" ca="1" si="316"/>
        <v>100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IFERROR(__xludf.DUMMYFUNCTION("IMPORTRANGE(""https://docs.google.com/spreadsheets/d/1eHaY18a8A9IcSdp1K8H6x8fbOy06t2VsZHhMHf-1x7Y/edit?usp=sharing"",""แผน!GZ76"")"),50)</f>
        <v>50</v>
      </c>
      <c r="J505" s="169">
        <v>50</v>
      </c>
      <c r="K505" s="47">
        <f t="shared" ca="1" si="316"/>
        <v>100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IFERROR(__xludf.DUMMYFUNCTION("IMPORTRANGE(""https://docs.google.com/spreadsheets/d/1eHaY18a8A9IcSdp1K8H6x8fbOy06t2VsZHhMHf-1x7Y/edit?usp=sharing"",""แผน!HA76"")"),50)</f>
        <v>50</v>
      </c>
      <c r="J506" s="169">
        <v>50</v>
      </c>
      <c r="K506" s="47">
        <f t="shared" ca="1" si="316"/>
        <v>100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IFERROR(__xludf.DUMMYFUNCTION("IMPORTRANGE(""https://docs.google.com/spreadsheets/d/1eHaY18a8A9IcSdp1K8H6x8fbOy06t2VsZHhMHf-1x7Y/edit?usp=sharing"",""แผน!HB76"")"),10)</f>
        <v>10</v>
      </c>
      <c r="J507" s="169">
        <v>10</v>
      </c>
      <c r="K507" s="47">
        <f t="shared" ca="1" si="316"/>
        <v>100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6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IFERROR(__xludf.DUMMYFUNCTION("IMPORTRANGE(""https://docs.google.com/spreadsheets/d/1eHaY18a8A9IcSdp1K8H6x8fbOy06t2VsZHhMHf-1x7Y/edit?usp=sharing"",""แผน!HC76"")"),0)</f>
        <v>0</v>
      </c>
      <c r="J509" s="378">
        <v>50</v>
      </c>
      <c r="K509" s="111">
        <f t="shared" ca="1" si="316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850"/>
      <c r="M510" s="851"/>
      <c r="N510" s="851"/>
      <c r="O510" s="851"/>
      <c r="P510" s="851"/>
      <c r="Q510" s="851"/>
      <c r="R510" s="851"/>
      <c r="S510" s="851"/>
      <c r="T510" s="851"/>
      <c r="U510" s="851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7">I524</f>
        <v>0</v>
      </c>
      <c r="J512" s="855">
        <f t="shared" si="317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8">L514+L515</f>
        <v>0</v>
      </c>
      <c r="M513" s="133">
        <f t="shared" ca="1" si="318"/>
        <v>0</v>
      </c>
      <c r="N513" s="133">
        <f t="shared" ca="1" si="318"/>
        <v>0</v>
      </c>
      <c r="O513" s="133">
        <f t="shared" ref="O513:O521" ca="1" si="319">IF(L513&gt;0,N513*100/L513,0)</f>
        <v>0</v>
      </c>
      <c r="P513" s="133">
        <f t="shared" ref="P513:P521" ca="1" si="320">IF(M513&gt;0,N513*100/M513,0)</f>
        <v>0</v>
      </c>
      <c r="Q513" s="133">
        <f t="shared" ref="Q513:S513" si="321">Q514+Q515</f>
        <v>0</v>
      </c>
      <c r="R513" s="133">
        <f t="shared" si="321"/>
        <v>0</v>
      </c>
      <c r="S513" s="133">
        <f t="shared" si="321"/>
        <v>0</v>
      </c>
      <c r="T513" s="133">
        <f t="shared" ref="T513:T521" si="322">IF(Q513&gt;0,S513*100/Q513,0)</f>
        <v>0</v>
      </c>
      <c r="U513" s="133">
        <f t="shared" ref="U513:U521" si="323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4">L517+L520</f>
        <v>0</v>
      </c>
      <c r="M514" s="49">
        <f t="shared" si="324"/>
        <v>0</v>
      </c>
      <c r="N514" s="49">
        <f t="shared" si="324"/>
        <v>0</v>
      </c>
      <c r="O514" s="49">
        <f t="shared" si="319"/>
        <v>0</v>
      </c>
      <c r="P514" s="49">
        <f t="shared" si="320"/>
        <v>0</v>
      </c>
      <c r="Q514" s="49">
        <f t="shared" ref="Q514:S515" si="325">Q517+Q520</f>
        <v>0</v>
      </c>
      <c r="R514" s="49">
        <f t="shared" si="325"/>
        <v>0</v>
      </c>
      <c r="S514" s="49">
        <f t="shared" si="325"/>
        <v>0</v>
      </c>
      <c r="T514" s="49">
        <f t="shared" si="322"/>
        <v>0</v>
      </c>
      <c r="U514" s="49">
        <f t="shared" si="323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4"/>
        <v>0</v>
      </c>
      <c r="M515" s="47">
        <f t="shared" ca="1" si="324"/>
        <v>0</v>
      </c>
      <c r="N515" s="47">
        <f t="shared" ca="1" si="324"/>
        <v>0</v>
      </c>
      <c r="O515" s="47">
        <f t="shared" ca="1" si="319"/>
        <v>0</v>
      </c>
      <c r="P515" s="47">
        <f t="shared" ca="1" si="320"/>
        <v>0</v>
      </c>
      <c r="Q515" s="47">
        <f t="shared" si="325"/>
        <v>0</v>
      </c>
      <c r="R515" s="47">
        <f t="shared" si="325"/>
        <v>0</v>
      </c>
      <c r="S515" s="47">
        <f t="shared" si="325"/>
        <v>0</v>
      </c>
      <c r="T515" s="47">
        <f t="shared" si="322"/>
        <v>0</v>
      </c>
      <c r="U515" s="47">
        <f t="shared" si="323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6">L517+L518</f>
        <v>0</v>
      </c>
      <c r="M516" s="47">
        <f t="shared" ca="1" si="326"/>
        <v>0</v>
      </c>
      <c r="N516" s="47">
        <f t="shared" ca="1" si="326"/>
        <v>0</v>
      </c>
      <c r="O516" s="47">
        <f t="shared" ca="1" si="319"/>
        <v>0</v>
      </c>
      <c r="P516" s="47">
        <f t="shared" ca="1" si="320"/>
        <v>0</v>
      </c>
      <c r="Q516" s="47">
        <f t="shared" ref="Q516:S516" si="327">Q517+Q518</f>
        <v>0</v>
      </c>
      <c r="R516" s="47">
        <f t="shared" si="327"/>
        <v>0</v>
      </c>
      <c r="S516" s="47">
        <f t="shared" si="327"/>
        <v>0</v>
      </c>
      <c r="T516" s="47">
        <f t="shared" si="322"/>
        <v>0</v>
      </c>
      <c r="U516" s="47">
        <f t="shared" si="323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9"/>
        <v>0</v>
      </c>
      <c r="P517" s="49">
        <f t="shared" si="320"/>
        <v>0</v>
      </c>
      <c r="Q517" s="49">
        <v>0</v>
      </c>
      <c r="R517" s="49">
        <v>0</v>
      </c>
      <c r="S517" s="49">
        <v>0</v>
      </c>
      <c r="T517" s="49">
        <f t="shared" si="322"/>
        <v>0</v>
      </c>
      <c r="U517" s="49">
        <f t="shared" si="323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t="shared" ca="1" si="319"/>
        <v>0</v>
      </c>
      <c r="P518" s="47">
        <f t="shared" ca="1" si="320"/>
        <v>0</v>
      </c>
      <c r="Q518" s="47">
        <v>0</v>
      </c>
      <c r="R518" s="47">
        <v>0</v>
      </c>
      <c r="S518" s="47">
        <v>0</v>
      </c>
      <c r="T518" s="47">
        <f t="shared" si="322"/>
        <v>0</v>
      </c>
      <c r="U518" s="47">
        <f t="shared" si="323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8">L520+L521</f>
        <v>0</v>
      </c>
      <c r="M519" s="47">
        <f t="shared" ca="1" si="328"/>
        <v>0</v>
      </c>
      <c r="N519" s="47">
        <f t="shared" ca="1" si="328"/>
        <v>0</v>
      </c>
      <c r="O519" s="47">
        <f t="shared" ca="1" si="319"/>
        <v>0</v>
      </c>
      <c r="P519" s="47">
        <f t="shared" ca="1" si="320"/>
        <v>0</v>
      </c>
      <c r="Q519" s="47">
        <f t="shared" ref="Q519:S519" si="329">Q520+Q521</f>
        <v>0</v>
      </c>
      <c r="R519" s="47">
        <f t="shared" si="329"/>
        <v>0</v>
      </c>
      <c r="S519" s="47">
        <f t="shared" si="329"/>
        <v>0</v>
      </c>
      <c r="T519" s="47">
        <f t="shared" si="322"/>
        <v>0</v>
      </c>
      <c r="U519" s="47">
        <f t="shared" si="323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9"/>
        <v>0</v>
      </c>
      <c r="P520" s="49">
        <f t="shared" si="320"/>
        <v>0</v>
      </c>
      <c r="Q520" s="49">
        <v>0</v>
      </c>
      <c r="R520" s="49">
        <v>0</v>
      </c>
      <c r="S520" s="49">
        <v>0</v>
      </c>
      <c r="T520" s="49">
        <f t="shared" si="322"/>
        <v>0</v>
      </c>
      <c r="U520" s="49">
        <f t="shared" si="323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t="shared" ca="1" si="319"/>
        <v>0</v>
      </c>
      <c r="P521" s="47">
        <f t="shared" ca="1" si="320"/>
        <v>0</v>
      </c>
      <c r="Q521" s="47">
        <v>0</v>
      </c>
      <c r="R521" s="47">
        <v>0</v>
      </c>
      <c r="S521" s="47">
        <v>0</v>
      </c>
      <c r="T521" s="47">
        <f t="shared" si="322"/>
        <v>0</v>
      </c>
      <c r="U521" s="47">
        <f t="shared" si="323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30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30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1">I545</f>
        <v>0</v>
      </c>
      <c r="J533" s="818">
        <f t="shared" si="331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2">L535+L536</f>
        <v>0</v>
      </c>
      <c r="M534" s="133">
        <f t="shared" ca="1" si="332"/>
        <v>0</v>
      </c>
      <c r="N534" s="133">
        <f t="shared" ca="1" si="332"/>
        <v>0</v>
      </c>
      <c r="O534" s="133">
        <f t="shared" ref="O534:O542" ca="1" si="333">IF(L534&gt;0,N534*100/L534,0)</f>
        <v>0</v>
      </c>
      <c r="P534" s="133">
        <f t="shared" ref="P534:P542" ca="1" si="334">IF(M534&gt;0,N534*100/M534,0)</f>
        <v>0</v>
      </c>
      <c r="Q534" s="133">
        <f t="shared" ref="Q534:S534" si="335">Q535+Q536</f>
        <v>0</v>
      </c>
      <c r="R534" s="133">
        <f t="shared" si="335"/>
        <v>0</v>
      </c>
      <c r="S534" s="133">
        <f t="shared" si="335"/>
        <v>0</v>
      </c>
      <c r="T534" s="133">
        <f t="shared" ref="T534:T542" si="336">IF(Q534&gt;0,S534*100/Q534,0)</f>
        <v>0</v>
      </c>
      <c r="U534" s="133">
        <f t="shared" ref="U534:U542" si="337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8">L538+L541</f>
        <v>0</v>
      </c>
      <c r="M535" s="49">
        <f t="shared" si="338"/>
        <v>0</v>
      </c>
      <c r="N535" s="49">
        <f t="shared" si="338"/>
        <v>0</v>
      </c>
      <c r="O535" s="49">
        <f t="shared" si="333"/>
        <v>0</v>
      </c>
      <c r="P535" s="49">
        <f t="shared" si="334"/>
        <v>0</v>
      </c>
      <c r="Q535" s="49">
        <f t="shared" ref="Q535:S536" si="339">Q538+Q541</f>
        <v>0</v>
      </c>
      <c r="R535" s="49">
        <f t="shared" si="339"/>
        <v>0</v>
      </c>
      <c r="S535" s="49">
        <f t="shared" si="339"/>
        <v>0</v>
      </c>
      <c r="T535" s="49">
        <f t="shared" si="336"/>
        <v>0</v>
      </c>
      <c r="U535" s="49">
        <f t="shared" si="337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8"/>
        <v>0</v>
      </c>
      <c r="M536" s="47">
        <f t="shared" ca="1" si="338"/>
        <v>0</v>
      </c>
      <c r="N536" s="47">
        <f t="shared" ca="1" si="338"/>
        <v>0</v>
      </c>
      <c r="O536" s="47">
        <f t="shared" ca="1" si="333"/>
        <v>0</v>
      </c>
      <c r="P536" s="47">
        <f t="shared" ca="1" si="334"/>
        <v>0</v>
      </c>
      <c r="Q536" s="47">
        <f t="shared" si="339"/>
        <v>0</v>
      </c>
      <c r="R536" s="47">
        <f t="shared" si="339"/>
        <v>0</v>
      </c>
      <c r="S536" s="47">
        <f t="shared" si="339"/>
        <v>0</v>
      </c>
      <c r="T536" s="47">
        <f t="shared" si="336"/>
        <v>0</v>
      </c>
      <c r="U536" s="47">
        <f t="shared" si="337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40">L538+L539</f>
        <v>0</v>
      </c>
      <c r="M537" s="47">
        <f t="shared" ca="1" si="340"/>
        <v>0</v>
      </c>
      <c r="N537" s="47">
        <f t="shared" ca="1" si="340"/>
        <v>0</v>
      </c>
      <c r="O537" s="47">
        <f t="shared" ca="1" si="333"/>
        <v>0</v>
      </c>
      <c r="P537" s="47">
        <f t="shared" ca="1" si="334"/>
        <v>0</v>
      </c>
      <c r="Q537" s="47">
        <f t="shared" ref="Q537:S537" si="341">Q538+Q539</f>
        <v>0</v>
      </c>
      <c r="R537" s="47">
        <f t="shared" si="341"/>
        <v>0</v>
      </c>
      <c r="S537" s="47">
        <f t="shared" si="341"/>
        <v>0</v>
      </c>
      <c r="T537" s="47">
        <f t="shared" si="336"/>
        <v>0</v>
      </c>
      <c r="U537" s="47">
        <f t="shared" si="337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3"/>
        <v>0</v>
      </c>
      <c r="P538" s="49">
        <f t="shared" si="334"/>
        <v>0</v>
      </c>
      <c r="Q538" s="49">
        <v>0</v>
      </c>
      <c r="R538" s="49">
        <v>0</v>
      </c>
      <c r="S538" s="49">
        <v>0</v>
      </c>
      <c r="T538" s="49">
        <f t="shared" si="336"/>
        <v>0</v>
      </c>
      <c r="U538" s="49">
        <f t="shared" si="337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t="shared" ca="1" si="333"/>
        <v>0</v>
      </c>
      <c r="P539" s="47">
        <f t="shared" ca="1" si="334"/>
        <v>0</v>
      </c>
      <c r="Q539" s="47">
        <v>0</v>
      </c>
      <c r="R539" s="47">
        <v>0</v>
      </c>
      <c r="S539" s="47">
        <v>0</v>
      </c>
      <c r="T539" s="47">
        <f t="shared" si="336"/>
        <v>0</v>
      </c>
      <c r="U539" s="47">
        <f t="shared" si="337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2">L541+L542</f>
        <v>0</v>
      </c>
      <c r="M540" s="47">
        <f t="shared" ca="1" si="342"/>
        <v>0</v>
      </c>
      <c r="N540" s="47">
        <f t="shared" ca="1" si="342"/>
        <v>0</v>
      </c>
      <c r="O540" s="47">
        <f t="shared" ca="1" si="333"/>
        <v>0</v>
      </c>
      <c r="P540" s="47">
        <f t="shared" ca="1" si="334"/>
        <v>0</v>
      </c>
      <c r="Q540" s="47">
        <f t="shared" ref="Q540:S540" si="343">Q541+Q542</f>
        <v>0</v>
      </c>
      <c r="R540" s="47">
        <f t="shared" si="343"/>
        <v>0</v>
      </c>
      <c r="S540" s="47">
        <f t="shared" si="343"/>
        <v>0</v>
      </c>
      <c r="T540" s="47">
        <f t="shared" si="336"/>
        <v>0</v>
      </c>
      <c r="U540" s="47">
        <f t="shared" si="337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3"/>
        <v>0</v>
      </c>
      <c r="P541" s="49">
        <f t="shared" si="334"/>
        <v>0</v>
      </c>
      <c r="Q541" s="49">
        <v>0</v>
      </c>
      <c r="R541" s="49">
        <v>0</v>
      </c>
      <c r="S541" s="49">
        <v>0</v>
      </c>
      <c r="T541" s="49">
        <f t="shared" si="336"/>
        <v>0</v>
      </c>
      <c r="U541" s="49">
        <f t="shared" si="337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t="shared" ca="1" si="333"/>
        <v>0</v>
      </c>
      <c r="P542" s="47">
        <f t="shared" ca="1" si="334"/>
        <v>0</v>
      </c>
      <c r="Q542" s="47">
        <v>0</v>
      </c>
      <c r="R542" s="47">
        <v>0</v>
      </c>
      <c r="S542" s="47">
        <v>0</v>
      </c>
      <c r="T542" s="47">
        <f t="shared" si="336"/>
        <v>0</v>
      </c>
      <c r="U542" s="47">
        <f t="shared" si="337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4">I566</f>
        <v>0</v>
      </c>
      <c r="J554" s="818">
        <f t="shared" si="344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5">L556+L557</f>
        <v>0</v>
      </c>
      <c r="M555" s="133">
        <f t="shared" ca="1" si="345"/>
        <v>0</v>
      </c>
      <c r="N555" s="133">
        <f t="shared" ca="1" si="345"/>
        <v>0</v>
      </c>
      <c r="O555" s="133">
        <f t="shared" ref="O555:O563" ca="1" si="346">IF(L555&gt;0,N555*100/L555,0)</f>
        <v>0</v>
      </c>
      <c r="P555" s="133">
        <f t="shared" ref="P555:P563" ca="1" si="347">IF(M555&gt;0,N555*100/M555,0)</f>
        <v>0</v>
      </c>
      <c r="Q555" s="133">
        <f t="shared" ref="Q555:S555" si="348">Q556+Q557</f>
        <v>0</v>
      </c>
      <c r="R555" s="133">
        <f t="shared" si="348"/>
        <v>0</v>
      </c>
      <c r="S555" s="133">
        <f t="shared" si="348"/>
        <v>0</v>
      </c>
      <c r="T555" s="133">
        <f t="shared" ref="T555:T563" si="349">IF(Q555&gt;0,S555*100/Q555,0)</f>
        <v>0</v>
      </c>
      <c r="U555" s="133">
        <f t="shared" ref="U555:U563" si="350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1">L559+L562</f>
        <v>0</v>
      </c>
      <c r="M556" s="49">
        <f t="shared" si="351"/>
        <v>0</v>
      </c>
      <c r="N556" s="49">
        <f t="shared" si="351"/>
        <v>0</v>
      </c>
      <c r="O556" s="49">
        <f t="shared" si="346"/>
        <v>0</v>
      </c>
      <c r="P556" s="49">
        <f t="shared" si="347"/>
        <v>0</v>
      </c>
      <c r="Q556" s="49">
        <f t="shared" ref="Q556:S557" si="352">Q559+Q562</f>
        <v>0</v>
      </c>
      <c r="R556" s="49">
        <f t="shared" si="352"/>
        <v>0</v>
      </c>
      <c r="S556" s="49">
        <f t="shared" si="352"/>
        <v>0</v>
      </c>
      <c r="T556" s="49">
        <f t="shared" si="349"/>
        <v>0</v>
      </c>
      <c r="U556" s="49">
        <f t="shared" si="350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1"/>
        <v>0</v>
      </c>
      <c r="M557" s="47">
        <f t="shared" ca="1" si="351"/>
        <v>0</v>
      </c>
      <c r="N557" s="47">
        <f t="shared" ca="1" si="351"/>
        <v>0</v>
      </c>
      <c r="O557" s="47">
        <f t="shared" ca="1" si="346"/>
        <v>0</v>
      </c>
      <c r="P557" s="47">
        <f t="shared" ca="1" si="347"/>
        <v>0</v>
      </c>
      <c r="Q557" s="47">
        <f t="shared" si="352"/>
        <v>0</v>
      </c>
      <c r="R557" s="47">
        <f t="shared" si="352"/>
        <v>0</v>
      </c>
      <c r="S557" s="47">
        <f t="shared" si="352"/>
        <v>0</v>
      </c>
      <c r="T557" s="47">
        <f t="shared" si="349"/>
        <v>0</v>
      </c>
      <c r="U557" s="47">
        <f t="shared" si="350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3">L559+L560</f>
        <v>0</v>
      </c>
      <c r="M558" s="47">
        <f t="shared" ca="1" si="353"/>
        <v>0</v>
      </c>
      <c r="N558" s="47">
        <f t="shared" ca="1" si="353"/>
        <v>0</v>
      </c>
      <c r="O558" s="47">
        <f t="shared" ca="1" si="346"/>
        <v>0</v>
      </c>
      <c r="P558" s="47">
        <f t="shared" ca="1" si="347"/>
        <v>0</v>
      </c>
      <c r="Q558" s="47">
        <f t="shared" ref="Q558:S558" si="354">Q559+Q560</f>
        <v>0</v>
      </c>
      <c r="R558" s="47">
        <f t="shared" si="354"/>
        <v>0</v>
      </c>
      <c r="S558" s="47">
        <f t="shared" si="354"/>
        <v>0</v>
      </c>
      <c r="T558" s="47">
        <f t="shared" si="349"/>
        <v>0</v>
      </c>
      <c r="U558" s="47">
        <f t="shared" si="350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6"/>
        <v>0</v>
      </c>
      <c r="P559" s="49">
        <f t="shared" si="347"/>
        <v>0</v>
      </c>
      <c r="Q559" s="49">
        <v>0</v>
      </c>
      <c r="R559" s="49">
        <v>0</v>
      </c>
      <c r="S559" s="49">
        <v>0</v>
      </c>
      <c r="T559" s="49">
        <f t="shared" si="349"/>
        <v>0</v>
      </c>
      <c r="U559" s="49">
        <f t="shared" si="350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t="shared" ca="1" si="346"/>
        <v>0</v>
      </c>
      <c r="P560" s="47">
        <f t="shared" ca="1" si="347"/>
        <v>0</v>
      </c>
      <c r="Q560" s="47">
        <v>0</v>
      </c>
      <c r="R560" s="47">
        <v>0</v>
      </c>
      <c r="S560" s="47">
        <v>0</v>
      </c>
      <c r="T560" s="47">
        <f t="shared" si="349"/>
        <v>0</v>
      </c>
      <c r="U560" s="47">
        <f t="shared" si="350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5">L562+L563</f>
        <v>0</v>
      </c>
      <c r="M561" s="47">
        <f t="shared" ca="1" si="355"/>
        <v>0</v>
      </c>
      <c r="N561" s="47">
        <f t="shared" ca="1" si="355"/>
        <v>0</v>
      </c>
      <c r="O561" s="47">
        <f t="shared" ca="1" si="346"/>
        <v>0</v>
      </c>
      <c r="P561" s="47">
        <f t="shared" ca="1" si="347"/>
        <v>0</v>
      </c>
      <c r="Q561" s="47">
        <f t="shared" ref="Q561:S561" si="356">Q562+Q563</f>
        <v>0</v>
      </c>
      <c r="R561" s="47">
        <f t="shared" si="356"/>
        <v>0</v>
      </c>
      <c r="S561" s="47">
        <f t="shared" si="356"/>
        <v>0</v>
      </c>
      <c r="T561" s="47">
        <f t="shared" si="349"/>
        <v>0</v>
      </c>
      <c r="U561" s="47">
        <f t="shared" si="350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6"/>
        <v>0</v>
      </c>
      <c r="P562" s="49">
        <f t="shared" si="347"/>
        <v>0</v>
      </c>
      <c r="Q562" s="49">
        <v>0</v>
      </c>
      <c r="R562" s="49">
        <v>0</v>
      </c>
      <c r="S562" s="49">
        <v>0</v>
      </c>
      <c r="T562" s="49">
        <f t="shared" si="349"/>
        <v>0</v>
      </c>
      <c r="U562" s="49">
        <f t="shared" si="350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t="shared" ca="1" si="346"/>
        <v>0</v>
      </c>
      <c r="P563" s="47">
        <f t="shared" ca="1" si="347"/>
        <v>0</v>
      </c>
      <c r="Q563" s="47">
        <v>0</v>
      </c>
      <c r="R563" s="47">
        <v>0</v>
      </c>
      <c r="S563" s="47">
        <v>0</v>
      </c>
      <c r="T563" s="47">
        <f t="shared" si="349"/>
        <v>0</v>
      </c>
      <c r="U563" s="47">
        <f t="shared" si="350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si="357">I587</f>
        <v>5</v>
      </c>
      <c r="J575" s="408">
        <f t="shared" si="357"/>
        <v>5</v>
      </c>
      <c r="K575" s="400">
        <f>IF(I575&gt;0,J575*100/I575,0)</f>
        <v>100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200"/>
      <c r="C576" s="40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8">L577+L578</f>
        <v>326820</v>
      </c>
      <c r="M576" s="133">
        <f t="shared" ca="1" si="358"/>
        <v>326820</v>
      </c>
      <c r="N576" s="133">
        <f t="shared" ca="1" si="358"/>
        <v>307997.25</v>
      </c>
      <c r="O576" s="133">
        <f t="shared" ref="O576:O584" ca="1" si="359">IF(L576&gt;0,N576*100/L576,0)</f>
        <v>94.24063704791628</v>
      </c>
      <c r="P576" s="133">
        <f t="shared" ref="P576:P584" ca="1" si="360">IF(M576&gt;0,N576*100/M576,0)</f>
        <v>94.24063704791628</v>
      </c>
      <c r="Q576" s="133">
        <f t="shared" ref="Q576:S576" si="361">Q577+Q578</f>
        <v>0</v>
      </c>
      <c r="R576" s="133">
        <f t="shared" si="361"/>
        <v>0</v>
      </c>
      <c r="S576" s="133">
        <f t="shared" si="361"/>
        <v>0</v>
      </c>
      <c r="T576" s="133">
        <f t="shared" ref="T576:T584" si="362">IF(Q576&gt;0,S576*100/Q576,0)</f>
        <v>0</v>
      </c>
      <c r="U576" s="133">
        <f t="shared" ref="U576:U584" si="363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4">L580+L583</f>
        <v>0</v>
      </c>
      <c r="M577" s="49">
        <f t="shared" si="364"/>
        <v>0</v>
      </c>
      <c r="N577" s="49">
        <f t="shared" si="364"/>
        <v>0</v>
      </c>
      <c r="O577" s="49">
        <f t="shared" si="359"/>
        <v>0</v>
      </c>
      <c r="P577" s="49">
        <f t="shared" si="360"/>
        <v>0</v>
      </c>
      <c r="Q577" s="49">
        <f t="shared" ref="Q577:S578" si="365">Q580+Q583</f>
        <v>0</v>
      </c>
      <c r="R577" s="49">
        <f t="shared" si="365"/>
        <v>0</v>
      </c>
      <c r="S577" s="49">
        <f t="shared" si="365"/>
        <v>0</v>
      </c>
      <c r="T577" s="49">
        <f t="shared" si="362"/>
        <v>0</v>
      </c>
      <c r="U577" s="49">
        <f t="shared" si="363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4"/>
        <v>326820</v>
      </c>
      <c r="M578" s="47">
        <f t="shared" ca="1" si="364"/>
        <v>326820</v>
      </c>
      <c r="N578" s="47">
        <f t="shared" ca="1" si="364"/>
        <v>307997.25</v>
      </c>
      <c r="O578" s="47">
        <f t="shared" ca="1" si="359"/>
        <v>94.24063704791628</v>
      </c>
      <c r="P578" s="47">
        <f t="shared" ca="1" si="360"/>
        <v>94.24063704791628</v>
      </c>
      <c r="Q578" s="47">
        <f t="shared" si="365"/>
        <v>0</v>
      </c>
      <c r="R578" s="47">
        <f t="shared" si="365"/>
        <v>0</v>
      </c>
      <c r="S578" s="47">
        <f t="shared" si="365"/>
        <v>0</v>
      </c>
      <c r="T578" s="47">
        <f t="shared" si="362"/>
        <v>0</v>
      </c>
      <c r="U578" s="47">
        <f t="shared" si="363"/>
        <v>0</v>
      </c>
    </row>
    <row r="579" spans="1:21" ht="18.75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6">L580+L581</f>
        <v>326820</v>
      </c>
      <c r="M579" s="47">
        <f t="shared" ca="1" si="366"/>
        <v>326820</v>
      </c>
      <c r="N579" s="47">
        <f t="shared" ca="1" si="366"/>
        <v>307997.25</v>
      </c>
      <c r="O579" s="47">
        <f t="shared" ca="1" si="359"/>
        <v>94.24063704791628</v>
      </c>
      <c r="P579" s="47">
        <f t="shared" ca="1" si="360"/>
        <v>94.24063704791628</v>
      </c>
      <c r="Q579" s="47">
        <f t="shared" ref="Q579:S579" si="367">Q580+Q581</f>
        <v>0</v>
      </c>
      <c r="R579" s="47">
        <f t="shared" si="367"/>
        <v>0</v>
      </c>
      <c r="S579" s="47">
        <f t="shared" si="367"/>
        <v>0</v>
      </c>
      <c r="T579" s="47">
        <f t="shared" si="362"/>
        <v>0</v>
      </c>
      <c r="U579" s="47">
        <f t="shared" si="363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9"/>
        <v>0</v>
      </c>
      <c r="P580" s="49">
        <f t="shared" si="360"/>
        <v>0</v>
      </c>
      <c r="Q580" s="49">
        <v>0</v>
      </c>
      <c r="R580" s="49">
        <v>0</v>
      </c>
      <c r="S580" s="49">
        <v>0</v>
      </c>
      <c r="T580" s="49">
        <f t="shared" si="362"/>
        <v>0</v>
      </c>
      <c r="U580" s="49">
        <f t="shared" si="363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IFERROR(__xludf.DUMMYFUNCTION("IMPORTRANGE(""https://docs.google.com/spreadsheets/d/1-uDff_7J0KD5mKrp0Vvzr7lt3OU09vwQwhkpOPPYv2Y/edit?usp=sharing"",""งบพรบ!GV76"")"),326820)</f>
        <v>326820</v>
      </c>
      <c r="N581" s="47">
        <f ca="1">IFERROR(__xludf.DUMMYFUNCTION("IMPORTRANGE(""https://docs.google.com/spreadsheets/d/1-uDff_7J0KD5mKrp0Vvzr7lt3OU09vwQwhkpOPPYv2Y/edit?usp=sharing"",""งบพรบ!GX76"")"),307997.25)</f>
        <v>307997.25</v>
      </c>
      <c r="O581" s="47">
        <f t="shared" ca="1" si="359"/>
        <v>94.24063704791628</v>
      </c>
      <c r="P581" s="47">
        <f t="shared" ca="1" si="360"/>
        <v>94.24063704791628</v>
      </c>
      <c r="Q581" s="47">
        <v>0</v>
      </c>
      <c r="R581" s="47">
        <v>0</v>
      </c>
      <c r="S581" s="47">
        <v>0</v>
      </c>
      <c r="T581" s="47">
        <f t="shared" si="362"/>
        <v>0</v>
      </c>
      <c r="U581" s="47">
        <f t="shared" si="363"/>
        <v>0</v>
      </c>
    </row>
    <row r="582" spans="1:21" ht="18.75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8">L583+L584</f>
        <v>0</v>
      </c>
      <c r="M582" s="47">
        <f t="shared" ca="1" si="368"/>
        <v>0</v>
      </c>
      <c r="N582" s="47">
        <f t="shared" ca="1" si="368"/>
        <v>0</v>
      </c>
      <c r="O582" s="47">
        <f t="shared" ca="1" si="359"/>
        <v>0</v>
      </c>
      <c r="P582" s="47">
        <f t="shared" ca="1" si="360"/>
        <v>0</v>
      </c>
      <c r="Q582" s="47">
        <f t="shared" ref="Q582:S582" si="369">Q583+Q584</f>
        <v>0</v>
      </c>
      <c r="R582" s="47">
        <f t="shared" si="369"/>
        <v>0</v>
      </c>
      <c r="S582" s="47">
        <f t="shared" si="369"/>
        <v>0</v>
      </c>
      <c r="T582" s="47">
        <f t="shared" si="362"/>
        <v>0</v>
      </c>
      <c r="U582" s="47">
        <f t="shared" si="363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9"/>
        <v>0</v>
      </c>
      <c r="P583" s="49">
        <f t="shared" si="360"/>
        <v>0</v>
      </c>
      <c r="Q583" s="49">
        <v>0</v>
      </c>
      <c r="R583" s="49">
        <v>0</v>
      </c>
      <c r="S583" s="49">
        <v>0</v>
      </c>
      <c r="T583" s="49">
        <f t="shared" si="362"/>
        <v>0</v>
      </c>
      <c r="U583" s="49">
        <f t="shared" si="363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t="shared" ca="1" si="359"/>
        <v>0</v>
      </c>
      <c r="P584" s="47">
        <f t="shared" ca="1" si="360"/>
        <v>0</v>
      </c>
      <c r="Q584" s="47">
        <v>0</v>
      </c>
      <c r="R584" s="47">
        <v>0</v>
      </c>
      <c r="S584" s="47">
        <v>0</v>
      </c>
      <c r="T584" s="47">
        <f t="shared" si="362"/>
        <v>0</v>
      </c>
      <c r="U584" s="47">
        <f t="shared" si="363"/>
        <v>0</v>
      </c>
    </row>
    <row r="585" spans="1:21" ht="19.5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412">
        <v>2</v>
      </c>
      <c r="J586" s="178">
        <v>0</v>
      </c>
      <c r="K586" s="179">
        <f t="shared" ref="K586:K587" si="370">IF(I586&gt;0,J586*100/I586,0)</f>
        <v>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200"/>
      <c r="C587" s="160"/>
      <c r="D587" s="271" t="s">
        <v>219</v>
      </c>
      <c r="E587" s="160"/>
      <c r="F587" s="200"/>
      <c r="G587" s="43"/>
      <c r="H587" s="44" t="s">
        <v>61</v>
      </c>
      <c r="I587" s="372">
        <v>5</v>
      </c>
      <c r="J587" s="169">
        <v>5</v>
      </c>
      <c r="K587" s="47">
        <f t="shared" si="370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71">L600+L601</f>
        <v>0</v>
      </c>
      <c r="M599" s="133">
        <f t="shared" ca="1" si="371"/>
        <v>0</v>
      </c>
      <c r="N599" s="133">
        <f t="shared" ca="1" si="371"/>
        <v>0</v>
      </c>
      <c r="O599" s="133">
        <f t="shared" ref="O599:O607" ca="1" si="372">IF(L599&gt;0,N599*100/L599,0)</f>
        <v>0</v>
      </c>
      <c r="P599" s="133">
        <f t="shared" ref="P599:P607" ca="1" si="373">IF(M599&gt;0,N599*100/M599,0)</f>
        <v>0</v>
      </c>
      <c r="Q599" s="133">
        <f t="shared" ref="Q599:S599" ca="1" si="374">Q600+Q601</f>
        <v>0</v>
      </c>
      <c r="R599" s="133">
        <f t="shared" ca="1" si="374"/>
        <v>0</v>
      </c>
      <c r="S599" s="133">
        <f t="shared" ca="1" si="374"/>
        <v>0</v>
      </c>
      <c r="T599" s="133">
        <f t="shared" ref="T599:T607" ca="1" si="375">IF(Q599&gt;0,S599*100/Q599,0)</f>
        <v>0</v>
      </c>
      <c r="U599" s="133">
        <f t="shared" ref="U599:U607" ca="1" si="376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7">L603+L606</f>
        <v>0</v>
      </c>
      <c r="M600" s="49">
        <f t="shared" si="377"/>
        <v>0</v>
      </c>
      <c r="N600" s="49">
        <f t="shared" si="377"/>
        <v>0</v>
      </c>
      <c r="O600" s="49">
        <f t="shared" si="372"/>
        <v>0</v>
      </c>
      <c r="P600" s="49">
        <f t="shared" si="373"/>
        <v>0</v>
      </c>
      <c r="Q600" s="49">
        <f t="shared" ref="Q600:S601" si="378">Q603+Q606</f>
        <v>0</v>
      </c>
      <c r="R600" s="49">
        <f t="shared" si="378"/>
        <v>0</v>
      </c>
      <c r="S600" s="49">
        <f t="shared" si="378"/>
        <v>0</v>
      </c>
      <c r="T600" s="49">
        <f t="shared" si="375"/>
        <v>0</v>
      </c>
      <c r="U600" s="49">
        <f t="shared" si="376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7"/>
        <v>0</v>
      </c>
      <c r="M601" s="47">
        <f t="shared" ca="1" si="377"/>
        <v>0</v>
      </c>
      <c r="N601" s="47">
        <f t="shared" ca="1" si="377"/>
        <v>0</v>
      </c>
      <c r="O601" s="47">
        <f t="shared" ca="1" si="372"/>
        <v>0</v>
      </c>
      <c r="P601" s="47">
        <f t="shared" ca="1" si="373"/>
        <v>0</v>
      </c>
      <c r="Q601" s="47">
        <f t="shared" ca="1" si="378"/>
        <v>0</v>
      </c>
      <c r="R601" s="47">
        <f t="shared" ca="1" si="378"/>
        <v>0</v>
      </c>
      <c r="S601" s="47">
        <f t="shared" ca="1" si="378"/>
        <v>0</v>
      </c>
      <c r="T601" s="47">
        <f t="shared" ca="1" si="375"/>
        <v>0</v>
      </c>
      <c r="U601" s="47">
        <f t="shared" ca="1" si="376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9">L603+L604</f>
        <v>0</v>
      </c>
      <c r="M602" s="47">
        <f t="shared" ca="1" si="379"/>
        <v>0</v>
      </c>
      <c r="N602" s="47">
        <f t="shared" ca="1" si="379"/>
        <v>0</v>
      </c>
      <c r="O602" s="47">
        <f t="shared" ca="1" si="372"/>
        <v>0</v>
      </c>
      <c r="P602" s="47">
        <f t="shared" ca="1" si="373"/>
        <v>0</v>
      </c>
      <c r="Q602" s="47">
        <f t="shared" ref="Q602:S602" ca="1" si="380">Q603+Q604</f>
        <v>0</v>
      </c>
      <c r="R602" s="47">
        <f t="shared" ca="1" si="380"/>
        <v>0</v>
      </c>
      <c r="S602" s="47">
        <f t="shared" ca="1" si="380"/>
        <v>0</v>
      </c>
      <c r="T602" s="47">
        <f t="shared" ca="1" si="375"/>
        <v>0</v>
      </c>
      <c r="U602" s="47">
        <f t="shared" ca="1" si="376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2"/>
        <v>0</v>
      </c>
      <c r="P603" s="49">
        <f t="shared" si="373"/>
        <v>0</v>
      </c>
      <c r="Q603" s="49">
        <v>0</v>
      </c>
      <c r="R603" s="49">
        <v>0</v>
      </c>
      <c r="S603" s="49">
        <v>0</v>
      </c>
      <c r="T603" s="49">
        <f t="shared" si="375"/>
        <v>0</v>
      </c>
      <c r="U603" s="49">
        <f t="shared" si="376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t="shared" ca="1" si="372"/>
        <v>0</v>
      </c>
      <c r="P604" s="47">
        <f t="shared" ca="1" si="373"/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t="shared" ca="1" si="375"/>
        <v>0</v>
      </c>
      <c r="U604" s="47">
        <f t="shared" ca="1" si="376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81">L606+L607</f>
        <v>0</v>
      </c>
      <c r="M605" s="47">
        <f t="shared" ca="1" si="381"/>
        <v>0</v>
      </c>
      <c r="N605" s="47">
        <f t="shared" ca="1" si="381"/>
        <v>0</v>
      </c>
      <c r="O605" s="47">
        <f t="shared" ca="1" si="372"/>
        <v>0</v>
      </c>
      <c r="P605" s="47">
        <f t="shared" ca="1" si="373"/>
        <v>0</v>
      </c>
      <c r="Q605" s="47">
        <f t="shared" ref="Q605:S605" ca="1" si="382">Q606+Q607</f>
        <v>0</v>
      </c>
      <c r="R605" s="47">
        <f t="shared" ca="1" si="382"/>
        <v>0</v>
      </c>
      <c r="S605" s="47">
        <f t="shared" ca="1" si="382"/>
        <v>0</v>
      </c>
      <c r="T605" s="47">
        <f t="shared" ca="1" si="375"/>
        <v>0</v>
      </c>
      <c r="U605" s="47">
        <f t="shared" ca="1" si="376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2"/>
        <v>0</v>
      </c>
      <c r="P606" s="49">
        <f t="shared" si="373"/>
        <v>0</v>
      </c>
      <c r="Q606" s="49">
        <v>0</v>
      </c>
      <c r="R606" s="49">
        <v>0</v>
      </c>
      <c r="S606" s="49">
        <v>0</v>
      </c>
      <c r="T606" s="49">
        <f t="shared" si="375"/>
        <v>0</v>
      </c>
      <c r="U606" s="49">
        <f t="shared" si="376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t="shared" ca="1" si="372"/>
        <v>0</v>
      </c>
      <c r="P607" s="47">
        <f t="shared" ca="1" si="373"/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t="shared" ca="1" si="375"/>
        <v>0</v>
      </c>
      <c r="U607" s="47">
        <f t="shared" ca="1" si="376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3">I626</f>
        <v>50</v>
      </c>
      <c r="J615" s="488">
        <f t="shared" si="383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4">L617+L618</f>
        <v>0</v>
      </c>
      <c r="M616" s="133">
        <f t="shared" si="384"/>
        <v>0</v>
      </c>
      <c r="N616" s="133">
        <f t="shared" si="384"/>
        <v>0</v>
      </c>
      <c r="O616" s="133">
        <f t="shared" ref="O616:O624" si="385">IF(L616&gt;0,N616*100/L616,0)</f>
        <v>0</v>
      </c>
      <c r="P616" s="133">
        <f t="shared" ref="P616:P624" si="386">IF(M616&gt;0,N616*100/M616,0)</f>
        <v>0</v>
      </c>
      <c r="Q616" s="133">
        <f t="shared" ref="Q616:S616" ca="1" si="387">Q617+Q618</f>
        <v>7300</v>
      </c>
      <c r="R616" s="133">
        <f t="shared" ca="1" si="387"/>
        <v>7300</v>
      </c>
      <c r="S616" s="133">
        <f t="shared" ca="1" si="387"/>
        <v>0</v>
      </c>
      <c r="T616" s="133">
        <f t="shared" ref="T616:T624" ca="1" si="388">IF(Q616&gt;0,S616*100/Q616,0)</f>
        <v>0</v>
      </c>
      <c r="U616" s="133">
        <f t="shared" ref="U616:U624" ca="1" si="389">IF(R616&gt;0,S616*100/R616,0)</f>
        <v>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90">L620+L623</f>
        <v>0</v>
      </c>
      <c r="M617" s="49">
        <f t="shared" si="390"/>
        <v>0</v>
      </c>
      <c r="N617" s="49">
        <f t="shared" si="390"/>
        <v>0</v>
      </c>
      <c r="O617" s="49">
        <f t="shared" si="385"/>
        <v>0</v>
      </c>
      <c r="P617" s="49">
        <f t="shared" si="386"/>
        <v>0</v>
      </c>
      <c r="Q617" s="49">
        <f t="shared" ref="Q617:S618" si="391">Q620+Q623</f>
        <v>0</v>
      </c>
      <c r="R617" s="49">
        <f t="shared" si="391"/>
        <v>0</v>
      </c>
      <c r="S617" s="49">
        <f t="shared" si="391"/>
        <v>0</v>
      </c>
      <c r="T617" s="49">
        <f t="shared" si="388"/>
        <v>0</v>
      </c>
      <c r="U617" s="49">
        <f t="shared" si="389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90"/>
        <v>0</v>
      </c>
      <c r="M618" s="47">
        <f t="shared" si="390"/>
        <v>0</v>
      </c>
      <c r="N618" s="47">
        <f t="shared" si="390"/>
        <v>0</v>
      </c>
      <c r="O618" s="47">
        <f t="shared" si="385"/>
        <v>0</v>
      </c>
      <c r="P618" s="47">
        <f t="shared" si="386"/>
        <v>0</v>
      </c>
      <c r="Q618" s="47">
        <f t="shared" ca="1" si="391"/>
        <v>7300</v>
      </c>
      <c r="R618" s="47">
        <f t="shared" ca="1" si="391"/>
        <v>7300</v>
      </c>
      <c r="S618" s="47">
        <f t="shared" ca="1" si="391"/>
        <v>0</v>
      </c>
      <c r="T618" s="47">
        <f t="shared" ca="1" si="388"/>
        <v>0</v>
      </c>
      <c r="U618" s="47">
        <f t="shared" ca="1" si="389"/>
        <v>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2">L620+L621</f>
        <v>0</v>
      </c>
      <c r="M619" s="47">
        <f t="shared" si="392"/>
        <v>0</v>
      </c>
      <c r="N619" s="47">
        <f t="shared" si="392"/>
        <v>0</v>
      </c>
      <c r="O619" s="47">
        <f t="shared" si="385"/>
        <v>0</v>
      </c>
      <c r="P619" s="47">
        <f t="shared" si="386"/>
        <v>0</v>
      </c>
      <c r="Q619" s="47">
        <f t="shared" ref="Q619:S619" ca="1" si="393">Q620+Q621</f>
        <v>7300</v>
      </c>
      <c r="R619" s="47">
        <f t="shared" ca="1" si="393"/>
        <v>7300</v>
      </c>
      <c r="S619" s="47">
        <f t="shared" ca="1" si="393"/>
        <v>0</v>
      </c>
      <c r="T619" s="47">
        <f t="shared" ca="1" si="388"/>
        <v>0</v>
      </c>
      <c r="U619" s="47">
        <f t="shared" ca="1" si="389"/>
        <v>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5"/>
        <v>0</v>
      </c>
      <c r="P620" s="49">
        <f t="shared" si="386"/>
        <v>0</v>
      </c>
      <c r="Q620" s="49">
        <v>0</v>
      </c>
      <c r="R620" s="49">
        <v>0</v>
      </c>
      <c r="S620" s="49">
        <v>0</v>
      </c>
      <c r="T620" s="49">
        <f t="shared" si="388"/>
        <v>0</v>
      </c>
      <c r="U620" s="49">
        <f t="shared" si="389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5"/>
        <v>0</v>
      </c>
      <c r="P621" s="47">
        <f t="shared" si="386"/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t="shared" ca="1" si="388"/>
        <v>0</v>
      </c>
      <c r="U621" s="47">
        <f t="shared" ca="1" si="389"/>
        <v>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4">L623+L624</f>
        <v>0</v>
      </c>
      <c r="M622" s="47">
        <f t="shared" si="394"/>
        <v>0</v>
      </c>
      <c r="N622" s="47">
        <f t="shared" si="394"/>
        <v>0</v>
      </c>
      <c r="O622" s="47">
        <f t="shared" si="385"/>
        <v>0</v>
      </c>
      <c r="P622" s="47">
        <f t="shared" si="386"/>
        <v>0</v>
      </c>
      <c r="Q622" s="47">
        <f t="shared" ref="Q622:S622" si="395">Q623+Q624</f>
        <v>0</v>
      </c>
      <c r="R622" s="47">
        <f t="shared" si="395"/>
        <v>0</v>
      </c>
      <c r="S622" s="47">
        <f t="shared" si="395"/>
        <v>0</v>
      </c>
      <c r="T622" s="47">
        <f t="shared" si="388"/>
        <v>0</v>
      </c>
      <c r="U622" s="47">
        <f t="shared" si="389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5"/>
        <v>0</v>
      </c>
      <c r="P623" s="49">
        <f t="shared" si="386"/>
        <v>0</v>
      </c>
      <c r="Q623" s="49">
        <v>0</v>
      </c>
      <c r="R623" s="49">
        <v>0</v>
      </c>
      <c r="S623" s="49">
        <v>0</v>
      </c>
      <c r="T623" s="49">
        <f t="shared" si="388"/>
        <v>0</v>
      </c>
      <c r="U623" s="49">
        <f t="shared" si="389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5"/>
        <v>0</v>
      </c>
      <c r="P624" s="47">
        <f t="shared" si="386"/>
        <v>0</v>
      </c>
      <c r="Q624" s="47">
        <v>0</v>
      </c>
      <c r="R624" s="47">
        <v>0</v>
      </c>
      <c r="S624" s="47">
        <v>0</v>
      </c>
      <c r="T624" s="47">
        <f t="shared" si="388"/>
        <v>0</v>
      </c>
      <c r="U624" s="47">
        <f t="shared" si="389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IFERROR(__xludf.DUMMYFUNCTION("IMPORTRANGE(""https://docs.google.com/spreadsheets/d/1eHaY18a8A9IcSdp1K8H6x8fbOy06t2VsZHhMHf-1x7Y/edit?usp=sharing"",""แผน!ID76"")"),50)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IFERROR(__xludf.DUMMYFUNCTION("IMPORTRANGE(""https://docs.google.com/spreadsheets/d/1eHaY18a8A9IcSdp1K8H6x8fbOy06t2VsZHhMHf-1x7Y/edit?usp=sharing"",""แผน!IC76"")"),1)</f>
        <v>1</v>
      </c>
      <c r="J627" s="169">
        <v>1</v>
      </c>
      <c r="K627" s="47">
        <f t="shared" ref="K627:K628" ca="1" si="396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IFERROR(__xludf.DUMMYFUNCTION("IMPORTRANGE(""https://docs.google.com/spreadsheets/d/1eHaY18a8A9IcSdp1K8H6x8fbOy06t2VsZHhMHf-1x7Y/edit?usp=sharing"",""แผน!IC76"")"),1)</f>
        <v>1</v>
      </c>
      <c r="J628" s="169">
        <v>1</v>
      </c>
      <c r="K628" s="47">
        <f t="shared" ca="1" si="396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7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7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7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IFERROR(__xludf.DUMMYFUNCTION("IMPORTRANGE(""https://docs.google.com/spreadsheets/d/1eHaY18a8A9IcSdp1K8H6x8fbOy06t2VsZHhMHf-1x7Y/edit?usp=sharing"",""แผน!IE76"")"),0)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8">L643+L644</f>
        <v>0</v>
      </c>
      <c r="M642" s="133">
        <f t="shared" si="398"/>
        <v>0</v>
      </c>
      <c r="N642" s="133">
        <f t="shared" si="398"/>
        <v>0</v>
      </c>
      <c r="O642" s="133">
        <f t="shared" ref="O642:O650" si="399">IF(L642&gt;0,N642*100/L642,0)</f>
        <v>0</v>
      </c>
      <c r="P642" s="133">
        <f t="shared" ref="P642:P650" si="400">IF(M642&gt;0,N642*100/M642,0)</f>
        <v>0</v>
      </c>
      <c r="Q642" s="133">
        <f t="shared" ref="Q642:S642" ca="1" si="401">Q643+Q644</f>
        <v>0</v>
      </c>
      <c r="R642" s="133">
        <f t="shared" ca="1" si="401"/>
        <v>0</v>
      </c>
      <c r="S642" s="133">
        <f t="shared" ca="1" si="401"/>
        <v>0</v>
      </c>
      <c r="T642" s="133">
        <f t="shared" ref="T642:T650" ca="1" si="402">IF(Q642&gt;0,S642*100/Q642,0)</f>
        <v>0</v>
      </c>
      <c r="U642" s="133">
        <f t="shared" ref="U642:U650" ca="1" si="403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4">L646+L649</f>
        <v>0</v>
      </c>
      <c r="M643" s="49">
        <f t="shared" si="404"/>
        <v>0</v>
      </c>
      <c r="N643" s="49">
        <f t="shared" si="404"/>
        <v>0</v>
      </c>
      <c r="O643" s="49">
        <f t="shared" si="399"/>
        <v>0</v>
      </c>
      <c r="P643" s="49">
        <f t="shared" si="400"/>
        <v>0</v>
      </c>
      <c r="Q643" s="49">
        <f t="shared" ref="Q643:S644" si="405">Q646+Q649</f>
        <v>0</v>
      </c>
      <c r="R643" s="49">
        <f t="shared" si="405"/>
        <v>0</v>
      </c>
      <c r="S643" s="49">
        <f t="shared" si="405"/>
        <v>0</v>
      </c>
      <c r="T643" s="49">
        <f t="shared" si="402"/>
        <v>0</v>
      </c>
      <c r="U643" s="49">
        <f t="shared" si="403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4"/>
        <v>0</v>
      </c>
      <c r="M644" s="47">
        <f t="shared" si="404"/>
        <v>0</v>
      </c>
      <c r="N644" s="47">
        <f t="shared" si="404"/>
        <v>0</v>
      </c>
      <c r="O644" s="47">
        <f t="shared" si="399"/>
        <v>0</v>
      </c>
      <c r="P644" s="47">
        <f t="shared" si="400"/>
        <v>0</v>
      </c>
      <c r="Q644" s="47">
        <f t="shared" ca="1" si="405"/>
        <v>0</v>
      </c>
      <c r="R644" s="47">
        <f t="shared" ca="1" si="405"/>
        <v>0</v>
      </c>
      <c r="S644" s="47">
        <f t="shared" ca="1" si="405"/>
        <v>0</v>
      </c>
      <c r="T644" s="47">
        <f t="shared" ca="1" si="402"/>
        <v>0</v>
      </c>
      <c r="U644" s="47">
        <f t="shared" ca="1" si="403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6">L646+L647</f>
        <v>0</v>
      </c>
      <c r="M645" s="47">
        <f t="shared" si="406"/>
        <v>0</v>
      </c>
      <c r="N645" s="47">
        <f t="shared" si="406"/>
        <v>0</v>
      </c>
      <c r="O645" s="47">
        <f t="shared" si="399"/>
        <v>0</v>
      </c>
      <c r="P645" s="47">
        <f t="shared" si="400"/>
        <v>0</v>
      </c>
      <c r="Q645" s="47">
        <f t="shared" ref="Q645:S645" ca="1" si="407">Q646+Q647</f>
        <v>0</v>
      </c>
      <c r="R645" s="47">
        <f t="shared" ca="1" si="407"/>
        <v>0</v>
      </c>
      <c r="S645" s="47">
        <f t="shared" ca="1" si="407"/>
        <v>0</v>
      </c>
      <c r="T645" s="47">
        <f t="shared" ca="1" si="402"/>
        <v>0</v>
      </c>
      <c r="U645" s="47">
        <f t="shared" ca="1" si="403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9"/>
        <v>0</v>
      </c>
      <c r="P646" s="49">
        <f t="shared" si="400"/>
        <v>0</v>
      </c>
      <c r="Q646" s="49">
        <v>0</v>
      </c>
      <c r="R646" s="49">
        <v>0</v>
      </c>
      <c r="S646" s="49">
        <v>0</v>
      </c>
      <c r="T646" s="49">
        <f t="shared" si="402"/>
        <v>0</v>
      </c>
      <c r="U646" s="49">
        <f t="shared" si="403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9"/>
        <v>0</v>
      </c>
      <c r="P647" s="47">
        <f t="shared" si="400"/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t="shared" ca="1" si="402"/>
        <v>0</v>
      </c>
      <c r="U647" s="47">
        <f t="shared" ca="1" si="403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8">L649+L650</f>
        <v>0</v>
      </c>
      <c r="M648" s="47">
        <f t="shared" si="408"/>
        <v>0</v>
      </c>
      <c r="N648" s="47">
        <f t="shared" si="408"/>
        <v>0</v>
      </c>
      <c r="O648" s="47">
        <f t="shared" si="399"/>
        <v>0</v>
      </c>
      <c r="P648" s="47">
        <f t="shared" si="400"/>
        <v>0</v>
      </c>
      <c r="Q648" s="47">
        <f t="shared" ref="Q648:S648" si="409">Q649+Q650</f>
        <v>0</v>
      </c>
      <c r="R648" s="47">
        <f t="shared" si="409"/>
        <v>0</v>
      </c>
      <c r="S648" s="47">
        <f t="shared" si="409"/>
        <v>0</v>
      </c>
      <c r="T648" s="47">
        <f t="shared" si="402"/>
        <v>0</v>
      </c>
      <c r="U648" s="47">
        <f t="shared" si="403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9"/>
        <v>0</v>
      </c>
      <c r="P649" s="49">
        <f t="shared" si="400"/>
        <v>0</v>
      </c>
      <c r="Q649" s="49">
        <v>0</v>
      </c>
      <c r="R649" s="49">
        <v>0</v>
      </c>
      <c r="S649" s="49">
        <v>0</v>
      </c>
      <c r="T649" s="49">
        <f t="shared" si="402"/>
        <v>0</v>
      </c>
      <c r="U649" s="49">
        <f t="shared" si="403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9"/>
        <v>0</v>
      </c>
      <c r="P650" s="47">
        <f t="shared" si="400"/>
        <v>0</v>
      </c>
      <c r="Q650" s="47">
        <v>0</v>
      </c>
      <c r="R650" s="47">
        <v>0</v>
      </c>
      <c r="S650" s="47">
        <v>0</v>
      </c>
      <c r="T650" s="47">
        <f t="shared" si="402"/>
        <v>0</v>
      </c>
      <c r="U650" s="47">
        <f t="shared" si="403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IFERROR(__xludf.DUMMYFUNCTION("IMPORTRANGE(""https://docs.google.com/spreadsheets/d/1eHaY18a8A9IcSdp1K8H6x8fbOy06t2VsZHhMHf-1x7Y/edit?usp=sharing"",""แผน!IF76"")"),0)</f>
        <v>0</v>
      </c>
      <c r="J652" s="37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t="shared" ref="K652:K654" ca="1" si="410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IFERROR(__xludf.DUMMYFUNCTION("IMPORTRANGE(""https://docs.google.com/spreadsheets/d/1eHaY18a8A9IcSdp1K8H6x8fbOy06t2VsZHhMHf-1x7Y/edit?usp=sharing"",""แผน!IG76"")"),0)</f>
        <v>0</v>
      </c>
      <c r="J653" s="37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t="shared" ca="1" si="410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IFERROR(__xludf.DUMMYFUNCTION("IMPORTRANGE(""https://docs.google.com/spreadsheets/d/1eHaY18a8A9IcSdp1K8H6x8fbOy06t2VsZHhMHf-1x7Y/edit?usp=sharing"",""แผน!IH76"")"),0)</f>
        <v>0</v>
      </c>
      <c r="J654" s="371">
        <f>J657+J660</f>
        <v>0</v>
      </c>
      <c r="K654" s="133">
        <f t="shared" ca="1" si="410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IFERROR(__xludf.DUMMYFUNCTION("IMPORTRANGE(""https://docs.google.com/spreadsheets/d/1eHaY18a8A9IcSdp1K8H6x8fbOy06t2VsZHhMHf-1x7Y/edit?usp=sharing"",""แผน!II76"")"),0)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IFERROR(__xludf.DUMMYFUNCTION("IMPORTRANGE(""https://docs.google.com/spreadsheets/d/1eHaY18a8A9IcSdp1K8H6x8fbOy06t2VsZHhMHf-1x7Y/edit?usp=sharing"",""แผน!IJ76"")"),0)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IFERROR(__xludf.DUMMYFUNCTION("IMPORTRANGE(""https://docs.google.com/spreadsheets/d/1eHaY18a8A9IcSdp1K8H6x8fbOy06t2VsZHhMHf-1x7Y/edit?usp=sharing"",""แผน!IK76"")"),0)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IFERROR(__xludf.DUMMYFUNCTION("IMPORTRANGE(""https://docs.google.com/spreadsheets/d/1eHaY18a8A9IcSdp1K8H6x8fbOy06t2VsZHhMHf-1x7Y/edit?usp=sharing"",""แผน!IL76"")"),0)</f>
        <v>0</v>
      </c>
      <c r="J673" s="37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t="shared" ref="K673:K676" ca="1" si="411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IFERROR(__xludf.DUMMYFUNCTION("IMPORTRANGE(""https://docs.google.com/spreadsheets/d/1eHaY18a8A9IcSdp1K8H6x8fbOy06t2VsZHhMHf-1x7Y/edit?usp=sharing"",""แผน!IM76"")"),0)</f>
        <v>0</v>
      </c>
      <c r="J674" s="371">
        <f ca="1">J676+J679</f>
        <v>0</v>
      </c>
      <c r="K674" s="133">
        <f t="shared" ca="1" si="411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IFERROR(__xludf.DUMMYFUNCTION("IMPORTRANGE(""https://docs.google.com/spreadsheets/d/1eHaY18a8A9IcSdp1K8H6x8fbOy06t2VsZHhMHf-1x7Y/edit?usp=sharing"",""แผน!IN76"")"),0)</f>
        <v>0</v>
      </c>
      <c r="J675" s="371">
        <f ca="1">J678+J681</f>
        <v>0</v>
      </c>
      <c r="K675" s="133">
        <f t="shared" ca="1" si="411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IFERROR(__xludf.DUMMYFUNCTION("IMPORTRANGE(""https://docs.google.com/spreadsheets/d/1eHaY18a8A9IcSdp1K8H6x8fbOy06t2VsZHhMHf-1x7Y/edit?usp=sharing"",""แผน!IO76"")"),0)</f>
        <v>0</v>
      </c>
      <c r="J676" s="37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t="shared" ca="1" si="411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IFERROR(__xludf.DUMMYFUNCTION("IMPORTRANGE(""https://docs.google.com/spreadsheets/d/1eHaY18a8A9IcSdp1K8H6x8fbOy06t2VsZHhMHf-1x7Y/edit?usp=sharing"",""แผน!IP76"")"),0)</f>
        <v>0</v>
      </c>
      <c r="J678" s="37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t="shared" ref="K678:K679" ca="1" si="412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IFERROR(__xludf.DUMMYFUNCTION("IMPORTRANGE(""https://docs.google.com/spreadsheets/d/1eHaY18a8A9IcSdp1K8H6x8fbOy06t2VsZHhMHf-1x7Y/edit?usp=sharing"",""แผน!IQ76"")"),0)</f>
        <v>0</v>
      </c>
      <c r="J679" s="37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t="shared" ca="1" si="412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IFERROR(__xludf.DUMMYFUNCTION("IMPORTRANGE(""https://docs.google.com/spreadsheets/d/1eHaY18a8A9IcSdp1K8H6x8fbOy06t2VsZHhMHf-1x7Y/edit?usp=sharing"",""แผน!IR76"")"),0)</f>
        <v>0</v>
      </c>
      <c r="J681" s="37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t="shared" ref="K681:K682" ca="1" si="413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IFERROR(__xludf.DUMMYFUNCTION("IMPORTRANGE(""https://docs.google.com/spreadsheets/d/1eHaY18a8A9IcSdp1K8H6x8fbOy06t2VsZHhMHf-1x7Y/edit?usp=sharing"",""แผน!IS76"")"),0)</f>
        <v>0</v>
      </c>
      <c r="J682" s="371">
        <f>J685+J688</f>
        <v>0</v>
      </c>
      <c r="K682" s="133">
        <f t="shared" ca="1" si="413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4">I707+I709</f>
        <v>5</v>
      </c>
      <c r="J689" s="844">
        <f t="shared" ca="1" si="414"/>
        <v>10</v>
      </c>
      <c r="K689" s="505">
        <f ca="1">IF(I689&gt;0,J689*100/I689,0)</f>
        <v>200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5">L691+L692</f>
        <v>0</v>
      </c>
      <c r="M690" s="133">
        <f t="shared" si="415"/>
        <v>0</v>
      </c>
      <c r="N690" s="133">
        <f t="shared" si="415"/>
        <v>0</v>
      </c>
      <c r="O690" s="133">
        <f t="shared" ref="O690:O698" si="416">IF(L690&gt;0,N690*100/L690,0)</f>
        <v>0</v>
      </c>
      <c r="P690" s="133">
        <f t="shared" ref="P690:P698" si="417">IF(M690&gt;0,N690*100/M690,0)</f>
        <v>0</v>
      </c>
      <c r="Q690" s="133">
        <f t="shared" ref="Q690:S690" ca="1" si="418">Q691+Q692</f>
        <v>65890</v>
      </c>
      <c r="R690" s="133">
        <f t="shared" ca="1" si="418"/>
        <v>65890</v>
      </c>
      <c r="S690" s="133">
        <f t="shared" ca="1" si="418"/>
        <v>10218.09</v>
      </c>
      <c r="T690" s="133">
        <f t="shared" ref="T690:T698" ca="1" si="419">IF(Q690&gt;0,S690*100/Q690,0)</f>
        <v>15.507800880254971</v>
      </c>
      <c r="U690" s="133">
        <f t="shared" ref="U690:U698" ca="1" si="420">IF(R690&gt;0,S690*100/R690,0)</f>
        <v>15.507800880254971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1">L694+L697</f>
        <v>0</v>
      </c>
      <c r="M691" s="49">
        <f t="shared" si="421"/>
        <v>0</v>
      </c>
      <c r="N691" s="49">
        <f t="shared" si="421"/>
        <v>0</v>
      </c>
      <c r="O691" s="49">
        <f t="shared" si="416"/>
        <v>0</v>
      </c>
      <c r="P691" s="49">
        <f t="shared" si="417"/>
        <v>0</v>
      </c>
      <c r="Q691" s="49">
        <f t="shared" ref="Q691:S692" si="422">Q694+Q697</f>
        <v>0</v>
      </c>
      <c r="R691" s="49">
        <f t="shared" si="422"/>
        <v>0</v>
      </c>
      <c r="S691" s="49">
        <f t="shared" si="422"/>
        <v>0</v>
      </c>
      <c r="T691" s="49">
        <f t="shared" si="419"/>
        <v>0</v>
      </c>
      <c r="U691" s="49">
        <f t="shared" si="420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1"/>
        <v>0</v>
      </c>
      <c r="M692" s="47">
        <f t="shared" si="421"/>
        <v>0</v>
      </c>
      <c r="N692" s="47">
        <f t="shared" si="421"/>
        <v>0</v>
      </c>
      <c r="O692" s="47">
        <f t="shared" si="416"/>
        <v>0</v>
      </c>
      <c r="P692" s="47">
        <f t="shared" si="417"/>
        <v>0</v>
      </c>
      <c r="Q692" s="47">
        <f t="shared" ca="1" si="422"/>
        <v>65890</v>
      </c>
      <c r="R692" s="47">
        <f t="shared" ca="1" si="422"/>
        <v>65890</v>
      </c>
      <c r="S692" s="47">
        <f t="shared" ca="1" si="422"/>
        <v>10218.09</v>
      </c>
      <c r="T692" s="47">
        <f t="shared" ca="1" si="419"/>
        <v>15.507800880254971</v>
      </c>
      <c r="U692" s="47">
        <f t="shared" ca="1" si="420"/>
        <v>15.507800880254971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3">L694+L695</f>
        <v>0</v>
      </c>
      <c r="M693" s="47">
        <f t="shared" si="423"/>
        <v>0</v>
      </c>
      <c r="N693" s="47">
        <f t="shared" si="423"/>
        <v>0</v>
      </c>
      <c r="O693" s="47">
        <f t="shared" si="416"/>
        <v>0</v>
      </c>
      <c r="P693" s="47">
        <f t="shared" si="417"/>
        <v>0</v>
      </c>
      <c r="Q693" s="47">
        <f t="shared" ref="Q693:S693" ca="1" si="424">Q694+Q695</f>
        <v>65890</v>
      </c>
      <c r="R693" s="47">
        <f t="shared" ca="1" si="424"/>
        <v>65890</v>
      </c>
      <c r="S693" s="47">
        <f t="shared" ca="1" si="424"/>
        <v>10218.09</v>
      </c>
      <c r="T693" s="47">
        <f t="shared" ca="1" si="419"/>
        <v>15.507800880254971</v>
      </c>
      <c r="U693" s="47">
        <f t="shared" ca="1" si="420"/>
        <v>15.507800880254971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6"/>
        <v>0</v>
      </c>
      <c r="P694" s="49">
        <f t="shared" si="417"/>
        <v>0</v>
      </c>
      <c r="Q694" s="49">
        <v>0</v>
      </c>
      <c r="R694" s="49">
        <v>0</v>
      </c>
      <c r="S694" s="49">
        <v>0</v>
      </c>
      <c r="T694" s="49">
        <f t="shared" si="419"/>
        <v>0</v>
      </c>
      <c r="U694" s="49">
        <f t="shared" si="420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6"/>
        <v>0</v>
      </c>
      <c r="P695" s="47">
        <f t="shared" si="417"/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IFERROR(__xludf.DUMMYFUNCTION("IMPORTRANGE(""https://docs.google.com/spreadsheets/d/1ItG2mGa2ceCfYo0BwxsXqNm01IGEUdYcSSLTEv9YCik/edit?usp=sharing"",""เบิกจ่ายกองทุน!N76"")"),10218.09)</f>
        <v>10218.09</v>
      </c>
      <c r="T695" s="47">
        <f t="shared" ca="1" si="419"/>
        <v>15.507800880254971</v>
      </c>
      <c r="U695" s="47">
        <f t="shared" ca="1" si="420"/>
        <v>15.507800880254971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5">L697+L698</f>
        <v>0</v>
      </c>
      <c r="M696" s="47">
        <f t="shared" si="425"/>
        <v>0</v>
      </c>
      <c r="N696" s="47">
        <f t="shared" si="425"/>
        <v>0</v>
      </c>
      <c r="O696" s="47">
        <f t="shared" si="416"/>
        <v>0</v>
      </c>
      <c r="P696" s="47">
        <f t="shared" si="417"/>
        <v>0</v>
      </c>
      <c r="Q696" s="47">
        <f t="shared" ref="Q696:S696" si="426">Q697+Q698</f>
        <v>0</v>
      </c>
      <c r="R696" s="47">
        <f t="shared" si="426"/>
        <v>0</v>
      </c>
      <c r="S696" s="47">
        <f t="shared" si="426"/>
        <v>0</v>
      </c>
      <c r="T696" s="47">
        <f t="shared" si="419"/>
        <v>0</v>
      </c>
      <c r="U696" s="47">
        <f t="shared" si="420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6"/>
        <v>0</v>
      </c>
      <c r="P697" s="49">
        <f t="shared" si="417"/>
        <v>0</v>
      </c>
      <c r="Q697" s="49">
        <v>0</v>
      </c>
      <c r="R697" s="49">
        <v>0</v>
      </c>
      <c r="S697" s="49">
        <v>0</v>
      </c>
      <c r="T697" s="49">
        <f t="shared" si="419"/>
        <v>0</v>
      </c>
      <c r="U697" s="49">
        <f t="shared" si="420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6"/>
        <v>0</v>
      </c>
      <c r="P698" s="47">
        <f t="shared" si="417"/>
        <v>0</v>
      </c>
      <c r="Q698" s="47">
        <v>0</v>
      </c>
      <c r="R698" s="47">
        <v>0</v>
      </c>
      <c r="S698" s="47">
        <v>0</v>
      </c>
      <c r="T698" s="47">
        <f t="shared" si="419"/>
        <v>0</v>
      </c>
      <c r="U698" s="47">
        <f t="shared" si="420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IFERROR(__xludf.DUMMYFUNCTION("IMPORTRANGE(""https://docs.google.com/spreadsheets/d/1eHaY18a8A9IcSdp1K8H6x8fbOy06t2VsZHhMHf-1x7Y/edit?usp=sharing"",""แผน!LC76"")"),0)</f>
        <v>0</v>
      </c>
      <c r="J700" s="169">
        <v>0</v>
      </c>
      <c r="K700" s="154">
        <f t="shared" ref="K700:K710" ca="1" si="427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8">I703+I705</f>
        <v>5</v>
      </c>
      <c r="J701" s="371">
        <f t="shared" ca="1" si="428"/>
        <v>10</v>
      </c>
      <c r="K701" s="133">
        <f t="shared" ca="1" si="427"/>
        <v>200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7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IFERROR(__xludf.DUMMYFUNCTION("IMPORTRANGE(""https://docs.google.com/spreadsheets/d/1eHaY18a8A9IcSdp1K8H6x8fbOy06t2VsZHhMHf-1x7Y/edit?usp=sharing"",""แผน!LJ76"")"),0)</f>
        <v>0</v>
      </c>
      <c r="J703" s="37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t="shared" ca="1" si="427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 t="shared" si="427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IFERROR(__xludf.DUMMYFUNCTION("IMPORTRANGE(""https://docs.google.com/spreadsheets/d/1eHaY18a8A9IcSdp1K8H6x8fbOy06t2VsZHhMHf-1x7Y/edit?usp=sharing"",""แผน!LK76"")"),5)</f>
        <v>5</v>
      </c>
      <c r="J705" s="372">
        <f ca="1">IFERROR(__xludf.DUMMYFUNCTION("IMPORTRANGE(""https://docs.google.com/spreadsheets/d/1tdoBKaGub7dwA3U6UFTqxio9LNnvDCQjHKmttSEBsFQ/edit?usp=sharing"",""จัดที่ดิน!AR76"")"),10)</f>
        <v>10</v>
      </c>
      <c r="K705" s="154">
        <f t="shared" ca="1" si="427"/>
        <v>200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 t="shared" si="427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IFERROR(__xludf.DUMMYFUNCTION("IMPORTRANGE(""https://docs.google.com/spreadsheets/d/1eHaY18a8A9IcSdp1K8H6x8fbOy06t2VsZHhMHf-1x7Y/edit?usp=sharing"",""แผน!LJ76"")"),0)</f>
        <v>0</v>
      </c>
      <c r="J707" s="37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t="shared" ca="1" si="427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 t="shared" si="427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IFERROR(__xludf.DUMMYFUNCTION("IMPORTRANGE(""https://docs.google.com/spreadsheets/d/1eHaY18a8A9IcSdp1K8H6x8fbOy06t2VsZHhMHf-1x7Y/edit?usp=sharing"",""แผน!LK76"")"),5)</f>
        <v>5</v>
      </c>
      <c r="J709" s="372">
        <f ca="1">IFERROR(__xludf.DUMMYFUNCTION("IMPORTRANGE(""https://docs.google.com/spreadsheets/d/1tdoBKaGub7dwA3U6UFTqxio9LNnvDCQjHKmttSEBsFQ/edit?usp=sharing"",""จัดที่ดิน!BP76"")"),10)</f>
        <v>10</v>
      </c>
      <c r="K709" s="47">
        <f t="shared" ca="1" si="427"/>
        <v>200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 t="shared" si="427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9">L715+L716</f>
        <v>0</v>
      </c>
      <c r="M714" s="133">
        <f t="shared" si="429"/>
        <v>0</v>
      </c>
      <c r="N714" s="133">
        <f t="shared" si="429"/>
        <v>0</v>
      </c>
      <c r="O714" s="133">
        <f t="shared" ref="O714:O722" si="430">IF(L714&gt;0,N714*100/L714,0)</f>
        <v>0</v>
      </c>
      <c r="P714" s="133">
        <f t="shared" ref="P714:P722" si="431">IF(M714&gt;0,N714*100/M714,0)</f>
        <v>0</v>
      </c>
      <c r="Q714" s="133">
        <f t="shared" ref="Q714:S714" si="432">Q715+Q716</f>
        <v>0</v>
      </c>
      <c r="R714" s="133">
        <f t="shared" si="432"/>
        <v>0</v>
      </c>
      <c r="S714" s="133">
        <f t="shared" si="432"/>
        <v>0</v>
      </c>
      <c r="T714" s="133">
        <f t="shared" ref="T714:T722" si="433">IF(Q714&gt;0,S714*100/Q714,0)</f>
        <v>0</v>
      </c>
      <c r="U714" s="133">
        <f t="shared" ref="U714:U722" si="434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5">L718+L721</f>
        <v>0</v>
      </c>
      <c r="M715" s="49">
        <f t="shared" si="435"/>
        <v>0</v>
      </c>
      <c r="N715" s="49">
        <f t="shared" si="435"/>
        <v>0</v>
      </c>
      <c r="O715" s="49">
        <f t="shared" si="430"/>
        <v>0</v>
      </c>
      <c r="P715" s="49">
        <f t="shared" si="431"/>
        <v>0</v>
      </c>
      <c r="Q715" s="49">
        <f t="shared" ref="Q715:S716" si="436">Q718+Q721</f>
        <v>0</v>
      </c>
      <c r="R715" s="49">
        <f t="shared" si="436"/>
        <v>0</v>
      </c>
      <c r="S715" s="49">
        <f t="shared" si="436"/>
        <v>0</v>
      </c>
      <c r="T715" s="49">
        <f t="shared" si="433"/>
        <v>0</v>
      </c>
      <c r="U715" s="49">
        <f t="shared" si="434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5"/>
        <v>0</v>
      </c>
      <c r="M716" s="47">
        <f t="shared" si="435"/>
        <v>0</v>
      </c>
      <c r="N716" s="47">
        <f t="shared" si="435"/>
        <v>0</v>
      </c>
      <c r="O716" s="47">
        <f t="shared" si="430"/>
        <v>0</v>
      </c>
      <c r="P716" s="47">
        <f t="shared" si="431"/>
        <v>0</v>
      </c>
      <c r="Q716" s="47">
        <f t="shared" si="436"/>
        <v>0</v>
      </c>
      <c r="R716" s="47">
        <f t="shared" si="436"/>
        <v>0</v>
      </c>
      <c r="S716" s="47">
        <f t="shared" si="436"/>
        <v>0</v>
      </c>
      <c r="T716" s="47">
        <f t="shared" si="433"/>
        <v>0</v>
      </c>
      <c r="U716" s="47">
        <f t="shared" si="434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7">L718+L719</f>
        <v>0</v>
      </c>
      <c r="M717" s="47">
        <f t="shared" si="437"/>
        <v>0</v>
      </c>
      <c r="N717" s="47">
        <f t="shared" si="437"/>
        <v>0</v>
      </c>
      <c r="O717" s="47">
        <f t="shared" si="430"/>
        <v>0</v>
      </c>
      <c r="P717" s="47">
        <f t="shared" si="431"/>
        <v>0</v>
      </c>
      <c r="Q717" s="47">
        <f t="shared" ref="Q717:S717" si="438">Q718+Q719</f>
        <v>0</v>
      </c>
      <c r="R717" s="47">
        <f t="shared" si="438"/>
        <v>0</v>
      </c>
      <c r="S717" s="47">
        <f t="shared" si="438"/>
        <v>0</v>
      </c>
      <c r="T717" s="47">
        <f t="shared" si="433"/>
        <v>0</v>
      </c>
      <c r="U717" s="47">
        <f t="shared" si="434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30"/>
        <v>0</v>
      </c>
      <c r="P718" s="49">
        <f t="shared" si="431"/>
        <v>0</v>
      </c>
      <c r="Q718" s="49">
        <v>0</v>
      </c>
      <c r="R718" s="49">
        <v>0</v>
      </c>
      <c r="S718" s="49">
        <v>0</v>
      </c>
      <c r="T718" s="49">
        <f t="shared" si="433"/>
        <v>0</v>
      </c>
      <c r="U718" s="49">
        <f t="shared" si="434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30"/>
        <v>0</v>
      </c>
      <c r="P719" s="47">
        <f t="shared" si="431"/>
        <v>0</v>
      </c>
      <c r="Q719" s="47">
        <v>0</v>
      </c>
      <c r="R719" s="47">
        <v>0</v>
      </c>
      <c r="S719" s="47">
        <v>0</v>
      </c>
      <c r="T719" s="47">
        <f t="shared" si="433"/>
        <v>0</v>
      </c>
      <c r="U719" s="47">
        <f t="shared" si="434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9">L721+L722</f>
        <v>0</v>
      </c>
      <c r="M720" s="47">
        <f t="shared" si="439"/>
        <v>0</v>
      </c>
      <c r="N720" s="47">
        <f t="shared" si="439"/>
        <v>0</v>
      </c>
      <c r="O720" s="47">
        <f t="shared" si="430"/>
        <v>0</v>
      </c>
      <c r="P720" s="47">
        <f t="shared" si="431"/>
        <v>0</v>
      </c>
      <c r="Q720" s="47">
        <f t="shared" ref="Q720:S720" si="440">Q721+Q722</f>
        <v>0</v>
      </c>
      <c r="R720" s="47">
        <f t="shared" si="440"/>
        <v>0</v>
      </c>
      <c r="S720" s="47">
        <f t="shared" si="440"/>
        <v>0</v>
      </c>
      <c r="T720" s="47">
        <f t="shared" si="433"/>
        <v>0</v>
      </c>
      <c r="U720" s="47">
        <f t="shared" si="434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30"/>
        <v>0</v>
      </c>
      <c r="P721" s="49">
        <f t="shared" si="431"/>
        <v>0</v>
      </c>
      <c r="Q721" s="49">
        <v>0</v>
      </c>
      <c r="R721" s="49">
        <v>0</v>
      </c>
      <c r="S721" s="49">
        <v>0</v>
      </c>
      <c r="T721" s="49">
        <f t="shared" si="433"/>
        <v>0</v>
      </c>
      <c r="U721" s="49">
        <f t="shared" si="434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30"/>
        <v>0</v>
      </c>
      <c r="P722" s="47">
        <f t="shared" si="431"/>
        <v>0</v>
      </c>
      <c r="Q722" s="47">
        <v>0</v>
      </c>
      <c r="R722" s="47">
        <v>0</v>
      </c>
      <c r="S722" s="47">
        <v>0</v>
      </c>
      <c r="T722" s="47">
        <f t="shared" si="433"/>
        <v>0</v>
      </c>
      <c r="U722" s="47">
        <f t="shared" si="434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IFERROR(__xludf.DUMMYFUNCTION("IMPORTRANGE(""https://docs.google.com/spreadsheets/d/1eHaY18a8A9IcSdp1K8H6x8fbOy06t2VsZHhMHf-1x7Y/edit?usp=sharing"",""แผน!GA76"")"),21)</f>
        <v>21</v>
      </c>
      <c r="J726" s="504">
        <f>J742+J746+J749</f>
        <v>21</v>
      </c>
      <c r="K726" s="505">
        <f t="shared" ref="K726:K727" ca="1" si="441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IFERROR(__xludf.DUMMYFUNCTION("IMPORTRANGE(""https://docs.google.com/spreadsheets/d/1eHaY18a8A9IcSdp1K8H6x8fbOy06t2VsZHhMHf-1x7Y/edit?usp=sharing"",""แผน!FZ76"")"),200)</f>
        <v>200</v>
      </c>
      <c r="J727" s="504">
        <f>J752+J755</f>
        <v>200</v>
      </c>
      <c r="K727" s="505">
        <f t="shared" ca="1" si="441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2">L729+L730</f>
        <v>0</v>
      </c>
      <c r="M728" s="133">
        <f t="shared" si="442"/>
        <v>0</v>
      </c>
      <c r="N728" s="133">
        <f t="shared" si="442"/>
        <v>0</v>
      </c>
      <c r="O728" s="133">
        <f t="shared" ref="O728:O736" si="443">IF(L728&gt;0,N728*100/L728,0)</f>
        <v>0</v>
      </c>
      <c r="P728" s="133">
        <f t="shared" ref="P728:P736" si="444">IF(M728&gt;0,N728*100/M728,0)</f>
        <v>0</v>
      </c>
      <c r="Q728" s="133">
        <f t="shared" ref="Q728:S728" ca="1" si="445">Q729+Q730</f>
        <v>175994</v>
      </c>
      <c r="R728" s="133">
        <f t="shared" ca="1" si="445"/>
        <v>200494</v>
      </c>
      <c r="S728" s="133">
        <f t="shared" ca="1" si="445"/>
        <v>186370</v>
      </c>
      <c r="T728" s="133">
        <f t="shared" ref="T728:T736" ca="1" si="446">IF(Q728&gt;0,S728*100/Q728,0)</f>
        <v>105.89565553371138</v>
      </c>
      <c r="U728" s="133">
        <f t="shared" ref="U728:U736" ca="1" si="447">IF(R728&gt;0,S728*100/R728,0)</f>
        <v>92.955400161600849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8">L732+L735</f>
        <v>0</v>
      </c>
      <c r="M729" s="49">
        <f t="shared" si="448"/>
        <v>0</v>
      </c>
      <c r="N729" s="49">
        <f t="shared" si="448"/>
        <v>0</v>
      </c>
      <c r="O729" s="49">
        <f t="shared" si="443"/>
        <v>0</v>
      </c>
      <c r="P729" s="49">
        <f t="shared" si="444"/>
        <v>0</v>
      </c>
      <c r="Q729" s="49">
        <f t="shared" ref="Q729:S730" si="449">Q732+Q735</f>
        <v>0</v>
      </c>
      <c r="R729" s="49">
        <f t="shared" si="449"/>
        <v>0</v>
      </c>
      <c r="S729" s="49">
        <f t="shared" si="449"/>
        <v>0</v>
      </c>
      <c r="T729" s="49">
        <f t="shared" si="446"/>
        <v>0</v>
      </c>
      <c r="U729" s="49">
        <f t="shared" si="447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8"/>
        <v>0</v>
      </c>
      <c r="M730" s="47">
        <f t="shared" si="448"/>
        <v>0</v>
      </c>
      <c r="N730" s="47">
        <f t="shared" si="448"/>
        <v>0</v>
      </c>
      <c r="O730" s="47">
        <f t="shared" si="443"/>
        <v>0</v>
      </c>
      <c r="P730" s="47">
        <f t="shared" si="444"/>
        <v>0</v>
      </c>
      <c r="Q730" s="47">
        <f t="shared" ca="1" si="449"/>
        <v>175994</v>
      </c>
      <c r="R730" s="47">
        <f t="shared" ca="1" si="449"/>
        <v>200494</v>
      </c>
      <c r="S730" s="47">
        <f t="shared" ca="1" si="449"/>
        <v>186370</v>
      </c>
      <c r="T730" s="47">
        <f t="shared" ca="1" si="446"/>
        <v>105.89565553371138</v>
      </c>
      <c r="U730" s="47">
        <f t="shared" ca="1" si="447"/>
        <v>92.955400161600849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50">L732+L733</f>
        <v>0</v>
      </c>
      <c r="M731" s="47">
        <f t="shared" si="450"/>
        <v>0</v>
      </c>
      <c r="N731" s="47">
        <f t="shared" si="450"/>
        <v>0</v>
      </c>
      <c r="O731" s="47">
        <f t="shared" si="443"/>
        <v>0</v>
      </c>
      <c r="P731" s="47">
        <f t="shared" si="444"/>
        <v>0</v>
      </c>
      <c r="Q731" s="47">
        <f t="shared" ref="Q731:S731" ca="1" si="451">Q732+Q733</f>
        <v>175994</v>
      </c>
      <c r="R731" s="47">
        <f t="shared" ca="1" si="451"/>
        <v>200494</v>
      </c>
      <c r="S731" s="47">
        <f t="shared" ca="1" si="451"/>
        <v>186370</v>
      </c>
      <c r="T731" s="47">
        <f t="shared" ca="1" si="446"/>
        <v>105.89565553371138</v>
      </c>
      <c r="U731" s="47">
        <f t="shared" ca="1" si="447"/>
        <v>92.955400161600849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3"/>
        <v>0</v>
      </c>
      <c r="P732" s="49">
        <f t="shared" si="444"/>
        <v>0</v>
      </c>
      <c r="Q732" s="49">
        <v>0</v>
      </c>
      <c r="R732" s="49">
        <v>0</v>
      </c>
      <c r="S732" s="49">
        <v>0</v>
      </c>
      <c r="T732" s="49">
        <f t="shared" si="446"/>
        <v>0</v>
      </c>
      <c r="U732" s="49">
        <f t="shared" si="447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3"/>
        <v>0</v>
      </c>
      <c r="P733" s="47">
        <f t="shared" si="444"/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IFERROR(__xludf.DUMMYFUNCTION("IMPORTRANGE(""https://docs.google.com/spreadsheets/d/1ItG2mGa2ceCfYo0BwxsXqNm01IGEUdYcSSLTEv9YCik/edit?usp=sharing"",""เบิกจ่ายกองทุน!Q76"")"),186370)</f>
        <v>186370</v>
      </c>
      <c r="T733" s="47">
        <f t="shared" ca="1" si="446"/>
        <v>105.89565553371138</v>
      </c>
      <c r="U733" s="47">
        <f t="shared" ca="1" si="447"/>
        <v>92.955400161600849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2">L735+L736</f>
        <v>0</v>
      </c>
      <c r="M734" s="47">
        <f t="shared" si="452"/>
        <v>0</v>
      </c>
      <c r="N734" s="47">
        <f t="shared" si="452"/>
        <v>0</v>
      </c>
      <c r="O734" s="47">
        <f t="shared" si="443"/>
        <v>0</v>
      </c>
      <c r="P734" s="47">
        <f t="shared" si="444"/>
        <v>0</v>
      </c>
      <c r="Q734" s="47">
        <f t="shared" ref="Q734:S734" si="453">Q735+Q736</f>
        <v>0</v>
      </c>
      <c r="R734" s="47">
        <f t="shared" si="453"/>
        <v>0</v>
      </c>
      <c r="S734" s="47">
        <f t="shared" si="453"/>
        <v>0</v>
      </c>
      <c r="T734" s="47">
        <f t="shared" si="446"/>
        <v>0</v>
      </c>
      <c r="U734" s="47">
        <f t="shared" si="447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3"/>
        <v>0</v>
      </c>
      <c r="P735" s="49">
        <f t="shared" si="444"/>
        <v>0</v>
      </c>
      <c r="Q735" s="49">
        <v>0</v>
      </c>
      <c r="R735" s="49">
        <v>0</v>
      </c>
      <c r="S735" s="49">
        <v>0</v>
      </c>
      <c r="T735" s="49">
        <f t="shared" si="446"/>
        <v>0</v>
      </c>
      <c r="U735" s="49">
        <f t="shared" si="447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3"/>
        <v>0</v>
      </c>
      <c r="P736" s="47">
        <f t="shared" si="444"/>
        <v>0</v>
      </c>
      <c r="Q736" s="47">
        <v>0</v>
      </c>
      <c r="R736" s="47">
        <v>0</v>
      </c>
      <c r="S736" s="47">
        <v>0</v>
      </c>
      <c r="T736" s="47">
        <f t="shared" si="446"/>
        <v>0</v>
      </c>
      <c r="U736" s="47">
        <f t="shared" si="447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IFERROR(__xludf.DUMMYFUNCTION("IMPORTRANGE(""https://docs.google.com/spreadsheets/d/1eHaY18a8A9IcSdp1K8H6x8fbOy06t2VsZHhMHf-1x7Y/edit?usp=sharing"",""แผน!GB76"")"),160)</f>
        <v>160</v>
      </c>
      <c r="J740" s="795">
        <v>160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IFERROR(__xludf.DUMMYFUNCTION("IMPORTRANGE(""https://docs.google.com/spreadsheets/d/1eHaY18a8A9IcSdp1K8H6x8fbOy06t2VsZHhMHf-1x7Y/edit?usp=sharing"",""แผน!GC76"")"),16)</f>
        <v>16</v>
      </c>
      <c r="J742" s="795">
        <v>16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IFERROR(__xludf.DUMMYFUNCTION("IMPORTRANGE(""https://docs.google.com/spreadsheets/d/1eHaY18a8A9IcSdp1K8H6x8fbOy06t2VsZHhMHf-1x7Y/edit?usp=sharing"",""แผน!GD76"")"),40)</f>
        <v>40</v>
      </c>
      <c r="J744" s="795">
        <v>40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IFERROR(__xludf.DUMMYFUNCTION("IMPORTRANGE(""https://docs.google.com/spreadsheets/d/1eHaY18a8A9IcSdp1K8H6x8fbOy06t2VsZHhMHf-1x7Y/edit?usp=sharing"",""แผน!GE76"")"),4)</f>
        <v>4</v>
      </c>
      <c r="J746" s="795">
        <v>4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IFERROR(__xludf.DUMMYFUNCTION("IMPORTRANGE(""https://docs.google.com/spreadsheets/d/1eHaY18a8A9IcSdp1K8H6x8fbOy06t2VsZHhMHf-1x7Y/edit?usp=sharing"",""แผน!GF76"")"),1)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IFERROR(__xludf.DUMMYFUNCTION("IMPORTRANGE(""https://docs.google.com/spreadsheets/d/1eHaY18a8A9IcSdp1K8H6x8fbOy06t2VsZHhMHf-1x7Y/edit?usp=sharing"",""แผน!GB76"")"),160)</f>
        <v>160</v>
      </c>
      <c r="J752" s="795">
        <v>160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IFERROR(__xludf.DUMMYFUNCTION("IMPORTRANGE(""https://docs.google.com/spreadsheets/d/1eHaY18a8A9IcSdp1K8H6x8fbOy06t2VsZHhMHf-1x7Y/edit?usp=sharing"",""แผน!GD76"")"),40)</f>
        <v>40</v>
      </c>
      <c r="J755" s="795">
        <v>40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40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4">I772</f>
        <v>40</v>
      </c>
      <c r="J758" s="504">
        <f t="shared" si="454"/>
        <v>40</v>
      </c>
      <c r="K758" s="505">
        <f t="shared" ref="K758:K759" ca="1" si="455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6">I774</f>
        <v>200</v>
      </c>
      <c r="J759" s="504">
        <f t="shared" si="456"/>
        <v>200</v>
      </c>
      <c r="K759" s="505">
        <f t="shared" ca="1" si="455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7">L761+L762</f>
        <v>0</v>
      </c>
      <c r="M760" s="133">
        <f t="shared" si="457"/>
        <v>0</v>
      </c>
      <c r="N760" s="133">
        <f t="shared" si="457"/>
        <v>0</v>
      </c>
      <c r="O760" s="133">
        <f t="shared" ref="O760:O768" si="458">IF(L760&gt;0,N760*100/L760,0)</f>
        <v>0</v>
      </c>
      <c r="P760" s="133">
        <f t="shared" ref="P760:P768" si="459">IF(M760&gt;0,N760*100/M760,0)</f>
        <v>0</v>
      </c>
      <c r="Q760" s="133">
        <f t="shared" ref="Q760:S760" ca="1" si="460">Q761+Q762</f>
        <v>463980</v>
      </c>
      <c r="R760" s="133">
        <f t="shared" ca="1" si="460"/>
        <v>463980</v>
      </c>
      <c r="S760" s="133">
        <f t="shared" ca="1" si="460"/>
        <v>449681</v>
      </c>
      <c r="T760" s="133">
        <f t="shared" ref="T760:T768" ca="1" si="461">IF(Q760&gt;0,S760*100/Q760,0)</f>
        <v>96.918186128712449</v>
      </c>
      <c r="U760" s="133">
        <f t="shared" ref="U760:U768" ca="1" si="462">IF(R760&gt;0,S760*100/R760,0)</f>
        <v>96.918186128712449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3">L764+L767</f>
        <v>0</v>
      </c>
      <c r="M761" s="49">
        <f t="shared" si="463"/>
        <v>0</v>
      </c>
      <c r="N761" s="49">
        <f t="shared" si="463"/>
        <v>0</v>
      </c>
      <c r="O761" s="49">
        <f t="shared" si="458"/>
        <v>0</v>
      </c>
      <c r="P761" s="49">
        <f t="shared" si="459"/>
        <v>0</v>
      </c>
      <c r="Q761" s="49">
        <f t="shared" ref="Q761:S762" si="464">Q764+Q767</f>
        <v>0</v>
      </c>
      <c r="R761" s="49">
        <f t="shared" si="464"/>
        <v>0</v>
      </c>
      <c r="S761" s="49">
        <f t="shared" si="464"/>
        <v>0</v>
      </c>
      <c r="T761" s="49">
        <f t="shared" si="461"/>
        <v>0</v>
      </c>
      <c r="U761" s="49">
        <f t="shared" si="462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3"/>
        <v>0</v>
      </c>
      <c r="M762" s="47">
        <f t="shared" si="463"/>
        <v>0</v>
      </c>
      <c r="N762" s="47">
        <f t="shared" si="463"/>
        <v>0</v>
      </c>
      <c r="O762" s="47">
        <f t="shared" si="458"/>
        <v>0</v>
      </c>
      <c r="P762" s="47">
        <f t="shared" si="459"/>
        <v>0</v>
      </c>
      <c r="Q762" s="47">
        <f t="shared" ca="1" si="464"/>
        <v>463980</v>
      </c>
      <c r="R762" s="47">
        <f t="shared" ca="1" si="464"/>
        <v>463980</v>
      </c>
      <c r="S762" s="47">
        <f t="shared" ca="1" si="464"/>
        <v>449681</v>
      </c>
      <c r="T762" s="47">
        <f t="shared" ca="1" si="461"/>
        <v>96.918186128712449</v>
      </c>
      <c r="U762" s="47">
        <f t="shared" ca="1" si="462"/>
        <v>96.918186128712449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5">L764+L765</f>
        <v>0</v>
      </c>
      <c r="M763" s="47">
        <f t="shared" si="465"/>
        <v>0</v>
      </c>
      <c r="N763" s="47">
        <f t="shared" si="465"/>
        <v>0</v>
      </c>
      <c r="O763" s="47">
        <f t="shared" si="458"/>
        <v>0</v>
      </c>
      <c r="P763" s="47">
        <f t="shared" si="459"/>
        <v>0</v>
      </c>
      <c r="Q763" s="47">
        <f t="shared" ref="Q763:S763" ca="1" si="466">Q764+Q765</f>
        <v>463980</v>
      </c>
      <c r="R763" s="47">
        <f t="shared" ca="1" si="466"/>
        <v>463980</v>
      </c>
      <c r="S763" s="47">
        <f t="shared" ca="1" si="466"/>
        <v>449681</v>
      </c>
      <c r="T763" s="47">
        <f t="shared" ca="1" si="461"/>
        <v>96.918186128712449</v>
      </c>
      <c r="U763" s="47">
        <f t="shared" ca="1" si="462"/>
        <v>96.918186128712449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8"/>
        <v>0</v>
      </c>
      <c r="P764" s="49">
        <f t="shared" si="459"/>
        <v>0</v>
      </c>
      <c r="Q764" s="49">
        <v>0</v>
      </c>
      <c r="R764" s="49">
        <v>0</v>
      </c>
      <c r="S764" s="49">
        <v>0</v>
      </c>
      <c r="T764" s="49">
        <f t="shared" si="461"/>
        <v>0</v>
      </c>
      <c r="U764" s="49">
        <f t="shared" si="462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8"/>
        <v>0</v>
      </c>
      <c r="P765" s="47">
        <f t="shared" si="459"/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IFERROR(__xludf.DUMMYFUNCTION("IMPORTRANGE(""https://docs.google.com/spreadsheets/d/1ItG2mGa2ceCfYo0BwxsXqNm01IGEUdYcSSLTEv9YCik/edit?usp=sharing"",""เบิกจ่ายกองทุน!AC76"")"),449681)</f>
        <v>449681</v>
      </c>
      <c r="T765" s="47">
        <f t="shared" ca="1" si="461"/>
        <v>96.918186128712449</v>
      </c>
      <c r="U765" s="47">
        <f t="shared" ca="1" si="462"/>
        <v>96.918186128712449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7">L767+L768</f>
        <v>0</v>
      </c>
      <c r="M766" s="47">
        <f t="shared" si="467"/>
        <v>0</v>
      </c>
      <c r="N766" s="47">
        <f t="shared" si="467"/>
        <v>0</v>
      </c>
      <c r="O766" s="47">
        <f t="shared" si="458"/>
        <v>0</v>
      </c>
      <c r="P766" s="47">
        <f t="shared" si="459"/>
        <v>0</v>
      </c>
      <c r="Q766" s="47">
        <f t="shared" ref="Q766:S766" si="468">Q767+Q768</f>
        <v>0</v>
      </c>
      <c r="R766" s="47">
        <f t="shared" si="468"/>
        <v>0</v>
      </c>
      <c r="S766" s="47">
        <f t="shared" si="468"/>
        <v>0</v>
      </c>
      <c r="T766" s="47">
        <f t="shared" si="461"/>
        <v>0</v>
      </c>
      <c r="U766" s="47">
        <f t="shared" si="462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8"/>
        <v>0</v>
      </c>
      <c r="P767" s="49">
        <f t="shared" si="459"/>
        <v>0</v>
      </c>
      <c r="Q767" s="49">
        <v>0</v>
      </c>
      <c r="R767" s="49">
        <v>0</v>
      </c>
      <c r="S767" s="49">
        <v>0</v>
      </c>
      <c r="T767" s="49">
        <f t="shared" si="461"/>
        <v>0</v>
      </c>
      <c r="U767" s="49">
        <f t="shared" si="462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8"/>
        <v>0</v>
      </c>
      <c r="P768" s="47">
        <f t="shared" si="459"/>
        <v>0</v>
      </c>
      <c r="Q768" s="47">
        <v>0</v>
      </c>
      <c r="R768" s="47">
        <v>0</v>
      </c>
      <c r="S768" s="47">
        <v>0</v>
      </c>
      <c r="T768" s="47">
        <f t="shared" si="461"/>
        <v>0</v>
      </c>
      <c r="U768" s="47">
        <f t="shared" si="462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IFERROR(__xludf.DUMMYFUNCTION("IMPORTRANGE(""https://docs.google.com/spreadsheets/d/1eHaY18a8A9IcSdp1K8H6x8fbOy06t2VsZHhMHf-1x7Y/edit?usp=sharing"",""แผน!FI76"")"),1)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IFERROR(__xludf.DUMMYFUNCTION("IMPORTRANGE(""https://docs.google.com/spreadsheets/d/1eHaY18a8A9IcSdp1K8H6x8fbOy06t2VsZHhMHf-1x7Y/edit?usp=sharing"",""แผน!FQ76"")"),40)</f>
        <v>40</v>
      </c>
      <c r="J772" s="169">
        <v>40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IFERROR(__xludf.DUMMYFUNCTION("IMPORTRANGE(""https://docs.google.com/spreadsheets/d/1eHaY18a8A9IcSdp1K8H6x8fbOy06t2VsZHhMHf-1x7Y/edit?usp=sharing"",""แผน!FR76"")"),200)</f>
        <v>200</v>
      </c>
      <c r="J774" s="169">
        <v>200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IFERROR(__xludf.DUMMYFUNCTION("IMPORTRANGE(""https://docs.google.com/spreadsheets/d/1eHaY18a8A9IcSdp1K8H6x8fbOy06t2VsZHhMHf-1x7Y/edit?usp=sharing"",""แผน!FS76"")"),200)</f>
        <v>200</v>
      </c>
      <c r="J775" s="169">
        <v>200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IFERROR(__xludf.DUMMYFUNCTION("IMPORTRANGE(""https://docs.google.com/spreadsheets/d/1eHaY18a8A9IcSdp1K8H6x8fbOy06t2VsZHhMHf-1x7Y/edit?usp=sharing"",""แผน!FT76"")"),40)</f>
        <v>40</v>
      </c>
      <c r="J776" s="378">
        <v>40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IFERROR(__xludf.DUMMYFUNCTION("IMPORTRANGE(""https://docs.google.com/spreadsheets/d/10OvvATaaLtwErnr3qtWFcTmtbfpFEt5Bsqel9sXx0uE/edit?usp=sharing"",""งานกองทุน!D76"")"),586887.43)</f>
        <v>586887.43000000005</v>
      </c>
      <c r="J778" s="372">
        <f ca="1">IFERROR(__xludf.DUMMYFUNCTION("IMPORTRANGE(""https://docs.google.com/spreadsheets/d/10OvvATaaLtwErnr3qtWFcTmtbfpFEt5Bsqel9sXx0uE/edit?usp=sharing"",""งานกองทุน!F76"")"),789708.08)</f>
        <v>789708.08</v>
      </c>
      <c r="K778" s="47">
        <f t="shared" ref="K778:K785" ca="1" si="469">IF(I778&gt;0,J778*100/I778,0)</f>
        <v>134.55869722750748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IFERROR(__xludf.DUMMYFUNCTION("IMPORTRANGE(""https://docs.google.com/spreadsheets/d/10OvvATaaLtwErnr3qtWFcTmtbfpFEt5Bsqel9sXx0uE/edit?usp=sharing"",""งานกองทุน!C76"")"),59)</f>
        <v>59</v>
      </c>
      <c r="J779" s="372">
        <f ca="1">IFERROR(__xludf.DUMMYFUNCTION("IMPORTRANGE(""https://docs.google.com/spreadsheets/d/10OvvATaaLtwErnr3qtWFcTmtbfpFEt5Bsqel9sXx0uE/edit?usp=sharing"",""งานกองทุน!E76"")"),70)</f>
        <v>70</v>
      </c>
      <c r="K779" s="47">
        <f t="shared" ca="1" si="469"/>
        <v>118.64406779661017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IFERROR(__xludf.DUMMYFUNCTION("IMPORTRANGE(""https://docs.google.com/spreadsheets/d/10OvvATaaLtwErnr3qtWFcTmtbfpFEt5Bsqel9sXx0uE/edit?usp=sharing"",""งานกองทุน!I76"")"),394898.5)</f>
        <v>394898.5</v>
      </c>
      <c r="J780" s="372">
        <f ca="1">IFERROR(__xludf.DUMMYFUNCTION("IMPORTRANGE(""https://docs.google.com/spreadsheets/d/10OvvATaaLtwErnr3qtWFcTmtbfpFEt5Bsqel9sXx0uE/edit?usp=sharing"",""งานกองทุน!K76"")"),167483.65)</f>
        <v>167483.65</v>
      </c>
      <c r="K780" s="47">
        <f t="shared" ca="1" si="469"/>
        <v>42.411822278382928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IFERROR(__xludf.DUMMYFUNCTION("IMPORTRANGE(""https://docs.google.com/spreadsheets/d/10OvvATaaLtwErnr3qtWFcTmtbfpFEt5Bsqel9sXx0uE/edit?usp=sharing"",""งานกองทุน!H76"")"),17)</f>
        <v>17</v>
      </c>
      <c r="J781" s="372">
        <f ca="1">IFERROR(__xludf.DUMMYFUNCTION("IMPORTRANGE(""https://docs.google.com/spreadsheets/d/10OvvATaaLtwErnr3qtWFcTmtbfpFEt5Bsqel9sXx0uE/edit?usp=sharing"",""งานกองทุน!J76"")"),11)</f>
        <v>11</v>
      </c>
      <c r="K781" s="47">
        <f t="shared" ca="1" si="469"/>
        <v>64.705882352941174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IFERROR(__xludf.DUMMYFUNCTION("IMPORTRANGE(""https://docs.google.com/spreadsheets/d/10OvvATaaLtwErnr3qtWFcTmtbfpFEt5Bsqel9sXx0uE/edit?usp=sharing"",""งานกองทุน!N76"")"),0)</f>
        <v>0</v>
      </c>
      <c r="J782" s="37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t="shared" ca="1" si="469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IFERROR(__xludf.DUMMYFUNCTION("IMPORTRANGE(""https://docs.google.com/spreadsheets/d/10OvvATaaLtwErnr3qtWFcTmtbfpFEt5Bsqel9sXx0uE/edit?usp=sharing"",""งานกองทุน!M76"")"),0)</f>
        <v>0</v>
      </c>
      <c r="J783" s="37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t="shared" ca="1" si="469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IFERROR(__xludf.DUMMYFUNCTION("IMPORTRANGE(""https://docs.google.com/spreadsheets/d/10OvvATaaLtwErnr3qtWFcTmtbfpFEt5Bsqel9sXx0uE/edit?usp=sharing"",""งานกองทุน!S76"")"),2016000)</f>
        <v>2016000</v>
      </c>
      <c r="J784" s="372">
        <f ca="1">IFERROR(__xludf.DUMMYFUNCTION("IMPORTRANGE(""https://docs.google.com/spreadsheets/d/10OvvATaaLtwErnr3qtWFcTmtbfpFEt5Bsqel9sXx0uE/edit?usp=sharing"",""งานกองทุน!U76"")"),2016000)</f>
        <v>2016000</v>
      </c>
      <c r="K784" s="47">
        <f t="shared" ca="1" si="469"/>
        <v>100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IFERROR(__xludf.DUMMYFUNCTION("IMPORTRANGE(""https://docs.google.com/spreadsheets/d/10OvvATaaLtwErnr3qtWFcTmtbfpFEt5Bsqel9sXx0uE/edit?usp=sharing"",""งานกองทุน!R76"")"),72)</f>
        <v>72</v>
      </c>
      <c r="J785" s="205">
        <f ca="1">IFERROR(__xludf.DUMMYFUNCTION("IMPORTRANGE(""https://docs.google.com/spreadsheets/d/10OvvATaaLtwErnr3qtWFcTmtbfpFEt5Bsqel9sXx0uE/edit?usp=sharing"",""งานกองทุน!T76"")"),48)</f>
        <v>48</v>
      </c>
      <c r="K785" s="111">
        <f t="shared" ca="1" si="469"/>
        <v>66.666666666666671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G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landscape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3FE58-693E-4C45-9431-C3270364D17A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321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2470330</v>
      </c>
      <c r="M18" s="35">
        <f t="shared" ca="1" si="0"/>
        <v>2845964.65</v>
      </c>
      <c r="N18" s="35">
        <f t="shared" ca="1" si="0"/>
        <v>2448758.0700000003</v>
      </c>
      <c r="O18" s="35">
        <f t="shared" ref="O18:O26" ca="1" si="1">IF(L18&gt;0,N18*100/L18,0)</f>
        <v>99.126759177923603</v>
      </c>
      <c r="P18" s="35">
        <f t="shared" ref="P18:P26" ca="1" si="2">IF(M18&gt;0,N18*100/M18,0)</f>
        <v>86.043165363983007</v>
      </c>
      <c r="Q18" s="35">
        <f t="shared" ref="Q18:S18" ca="1" si="3">Q19+Q20</f>
        <v>1250142.17</v>
      </c>
      <c r="R18" s="35">
        <f t="shared" ca="1" si="3"/>
        <v>1254342</v>
      </c>
      <c r="S18" s="35">
        <f t="shared" ca="1" si="3"/>
        <v>759480.88000000012</v>
      </c>
      <c r="T18" s="35">
        <f t="shared" ref="T18:T26" ca="1" si="4">IF(Q18&gt;0,S18*100/Q18,0)</f>
        <v>60.751560760485361</v>
      </c>
      <c r="U18" s="35">
        <f t="shared" ref="U18:U26" ca="1" si="5">IF(R18&gt;0,S18*100/R18,0)</f>
        <v>60.548150344961755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2470330</v>
      </c>
      <c r="M20" s="39">
        <f t="shared" ca="1" si="6"/>
        <v>2845964.65</v>
      </c>
      <c r="N20" s="39">
        <f t="shared" ca="1" si="6"/>
        <v>2448758.0700000003</v>
      </c>
      <c r="O20" s="39">
        <f t="shared" ca="1" si="1"/>
        <v>99.126759177923603</v>
      </c>
      <c r="P20" s="39">
        <f t="shared" ca="1" si="2"/>
        <v>86.043165363983007</v>
      </c>
      <c r="Q20" s="39">
        <f t="shared" ca="1" si="7"/>
        <v>1250142.17</v>
      </c>
      <c r="R20" s="39">
        <f t="shared" ca="1" si="7"/>
        <v>1254342</v>
      </c>
      <c r="S20" s="39">
        <f t="shared" ca="1" si="7"/>
        <v>759480.88000000012</v>
      </c>
      <c r="T20" s="39">
        <f t="shared" ca="1" si="4"/>
        <v>60.751560760485361</v>
      </c>
      <c r="U20" s="39">
        <f t="shared" ca="1" si="5"/>
        <v>60.548150344961755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2470330</v>
      </c>
      <c r="M21" s="47">
        <f t="shared" ca="1" si="8"/>
        <v>2845964.65</v>
      </c>
      <c r="N21" s="47">
        <f t="shared" ca="1" si="8"/>
        <v>2448758.0700000003</v>
      </c>
      <c r="O21" s="47">
        <f t="shared" ca="1" si="1"/>
        <v>99.126759177923603</v>
      </c>
      <c r="P21" s="47">
        <f t="shared" ca="1" si="2"/>
        <v>86.043165363983007</v>
      </c>
      <c r="Q21" s="47">
        <f t="shared" ref="Q21:S21" ca="1" si="9">Q22+Q23</f>
        <v>1120142.17</v>
      </c>
      <c r="R21" s="47">
        <f t="shared" ca="1" si="9"/>
        <v>1124342</v>
      </c>
      <c r="S21" s="47">
        <f t="shared" ca="1" si="9"/>
        <v>759480.88000000012</v>
      </c>
      <c r="T21" s="47">
        <f t="shared" ca="1" si="4"/>
        <v>67.802186217129943</v>
      </c>
      <c r="U21" s="47">
        <f t="shared" ca="1" si="5"/>
        <v>67.548920168418519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2470330</v>
      </c>
      <c r="M23" s="47">
        <f t="shared" ca="1" si="12"/>
        <v>2845964.65</v>
      </c>
      <c r="N23" s="47">
        <f t="shared" ca="1" si="12"/>
        <v>2448758.0700000003</v>
      </c>
      <c r="O23" s="47">
        <f t="shared" ca="1" si="1"/>
        <v>99.126759177923603</v>
      </c>
      <c r="P23" s="47">
        <f t="shared" ca="1" si="2"/>
        <v>86.043165363983007</v>
      </c>
      <c r="Q23" s="47">
        <f t="shared" ca="1" si="11"/>
        <v>1120142.17</v>
      </c>
      <c r="R23" s="47">
        <f t="shared" ca="1" si="11"/>
        <v>1124342</v>
      </c>
      <c r="S23" s="47">
        <f t="shared" ca="1" si="11"/>
        <v>759480.88000000012</v>
      </c>
      <c r="T23" s="47">
        <f t="shared" ca="1" si="4"/>
        <v>67.802186217129943</v>
      </c>
      <c r="U23" s="47">
        <f t="shared" ca="1" si="5"/>
        <v>67.548920168418519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0</v>
      </c>
      <c r="N24" s="47">
        <f t="shared" ca="1" si="13"/>
        <v>0</v>
      </c>
      <c r="O24" s="47">
        <f t="shared" ca="1" si="1"/>
        <v>0</v>
      </c>
      <c r="P24" s="47">
        <f t="shared" ca="1" si="2"/>
        <v>0</v>
      </c>
      <c r="Q24" s="47">
        <f t="shared" ref="Q24:S24" ca="1" si="14">Q25+Q26</f>
        <v>130000</v>
      </c>
      <c r="R24" s="47">
        <f t="shared" ca="1" si="14"/>
        <v>130000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0</v>
      </c>
      <c r="M26" s="47">
        <f t="shared" ca="1" si="17"/>
        <v>0</v>
      </c>
      <c r="N26" s="47">
        <f t="shared" ca="1" si="17"/>
        <v>0</v>
      </c>
      <c r="O26" s="47">
        <f t="shared" ca="1" si="1"/>
        <v>0</v>
      </c>
      <c r="P26" s="47">
        <f t="shared" ca="1" si="2"/>
        <v>0</v>
      </c>
      <c r="Q26" s="49">
        <f t="shared" ca="1" si="16"/>
        <v>130000</v>
      </c>
      <c r="R26" s="49">
        <f t="shared" ca="1" si="16"/>
        <v>130000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2067050</v>
      </c>
      <c r="M40" s="594">
        <f t="shared" ca="1" si="18"/>
        <v>2406044.65</v>
      </c>
      <c r="N40" s="594">
        <f t="shared" ca="1" si="18"/>
        <v>2192176.7100000004</v>
      </c>
      <c r="O40" s="594">
        <f ca="1">IF(L40&gt;0,N40*100/L40,0)</f>
        <v>106.05339541859173</v>
      </c>
      <c r="P40" s="594">
        <f ca="1">IF(M40&gt;0,N40*100/M40,0)</f>
        <v>91.111223143760043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352000</v>
      </c>
      <c r="M44" s="79">
        <f t="shared" ca="1" si="19"/>
        <v>472424.65</v>
      </c>
      <c r="N44" s="79">
        <f t="shared" ca="1" si="19"/>
        <v>427524.65</v>
      </c>
      <c r="O44" s="79">
        <f t="shared" ref="O44:O52" ca="1" si="20">IF(L44&gt;0,N44*100/L44,0)</f>
        <v>121.45586647727272</v>
      </c>
      <c r="P44" s="79">
        <f t="shared" ref="P44:P52" ca="1" si="21">IF(M44&gt;0,N44*100/M44,0)</f>
        <v>90.495838860228815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352000</v>
      </c>
      <c r="M46" s="83">
        <f t="shared" ca="1" si="25"/>
        <v>472424.65</v>
      </c>
      <c r="N46" s="83">
        <f t="shared" ca="1" si="25"/>
        <v>427524.65</v>
      </c>
      <c r="O46" s="83">
        <f t="shared" ca="1" si="20"/>
        <v>121.45586647727272</v>
      </c>
      <c r="P46" s="83">
        <f t="shared" ca="1" si="21"/>
        <v>90.495838860228815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352000</v>
      </c>
      <c r="M47" s="47">
        <f t="shared" ca="1" si="27"/>
        <v>472424.65</v>
      </c>
      <c r="N47" s="47">
        <f t="shared" ca="1" si="27"/>
        <v>427524.65</v>
      </c>
      <c r="O47" s="47">
        <f t="shared" ca="1" si="20"/>
        <v>121.45586647727272</v>
      </c>
      <c r="P47" s="47">
        <f t="shared" ca="1" si="21"/>
        <v>90.495838860228815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IFERROR(__xludf.DUMMYFUNCTION("IMPORTRANGE(""https://docs.google.com/spreadsheets/d/1-uDff_7J0KD5mKrp0Vvzr7lt3OU09vwQwhkpOPPYv2Y/edit?usp=sharing"",""งบพรบ!V77"")"),472424.65)</f>
        <v>472424.65</v>
      </c>
      <c r="N49" s="47">
        <f ca="1">IFERROR(__xludf.DUMMYFUNCTION("IMPORTRANGE(""https://docs.google.com/spreadsheets/d/1-uDff_7J0KD5mKrp0Vvzr7lt3OU09vwQwhkpOPPYv2Y/edit?usp=sharing"",""งบพรบ!Y77"")"),427524.65)</f>
        <v>427524.65</v>
      </c>
      <c r="O49" s="47">
        <f t="shared" ca="1" si="20"/>
        <v>121.45586647727272</v>
      </c>
      <c r="P49" s="47">
        <f t="shared" ca="1" si="21"/>
        <v>90.495838860228815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737200</v>
      </c>
      <c r="M59" s="106">
        <f t="shared" ca="1" si="31"/>
        <v>816320</v>
      </c>
      <c r="N59" s="106">
        <f t="shared" ca="1" si="31"/>
        <v>779981.03</v>
      </c>
      <c r="O59" s="106">
        <f t="shared" ref="O59:O67" ca="1" si="32">IF(L59&gt;0,N59*100/L59,0)</f>
        <v>105.80317824199675</v>
      </c>
      <c r="P59" s="106">
        <f t="shared" ref="P59:P67" ca="1" si="33">IF(M59&gt;0,N59*100/M59,0)</f>
        <v>95.548440562524505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737200</v>
      </c>
      <c r="M61" s="109">
        <f t="shared" ca="1" si="37"/>
        <v>816320</v>
      </c>
      <c r="N61" s="109">
        <f t="shared" ca="1" si="37"/>
        <v>779981.03</v>
      </c>
      <c r="O61" s="109">
        <f t="shared" ca="1" si="32"/>
        <v>105.80317824199675</v>
      </c>
      <c r="P61" s="109">
        <f t="shared" ca="1" si="33"/>
        <v>95.548440562524505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737200</v>
      </c>
      <c r="M62" s="47">
        <f t="shared" ca="1" si="39"/>
        <v>816320</v>
      </c>
      <c r="N62" s="47">
        <f t="shared" ca="1" si="39"/>
        <v>779981.03</v>
      </c>
      <c r="O62" s="47">
        <f t="shared" ca="1" si="32"/>
        <v>105.80317824199675</v>
      </c>
      <c r="P62" s="47">
        <f t="shared" ca="1" si="33"/>
        <v>95.548440562524505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IFERROR(__xludf.DUMMYFUNCTION("IMPORTRANGE(""https://docs.google.com/spreadsheets/d/1-uDff_7J0KD5mKrp0Vvzr7lt3OU09vwQwhkpOPPYv2Y/edit?usp=sharing"",""งบพรบ!AH77"")"),816320)</f>
        <v>816320</v>
      </c>
      <c r="N64" s="47">
        <f ca="1">IFERROR(__xludf.DUMMYFUNCTION("IMPORTRANGE(""https://docs.google.com/spreadsheets/d/1-uDff_7J0KD5mKrp0Vvzr7lt3OU09vwQwhkpOPPYv2Y/edit?usp=sharing"",""งบพรบ!AJ77"")"),779981.03)</f>
        <v>779981.03</v>
      </c>
      <c r="O64" s="47">
        <f t="shared" ca="1" si="32"/>
        <v>105.80317824199675</v>
      </c>
      <c r="P64" s="47">
        <f t="shared" ca="1" si="33"/>
        <v>95.548440562524505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0</v>
      </c>
      <c r="M65" s="47">
        <f t="shared" ca="1" si="41"/>
        <v>0</v>
      </c>
      <c r="N65" s="47">
        <f t="shared" ca="1" si="41"/>
        <v>0</v>
      </c>
      <c r="O65" s="47">
        <f t="shared" ca="1" si="32"/>
        <v>0</v>
      </c>
      <c r="P65" s="47">
        <f t="shared" ca="1" si="33"/>
        <v>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t="shared" ca="1" si="32"/>
        <v>0</v>
      </c>
      <c r="P67" s="111">
        <f t="shared" ca="1" si="33"/>
        <v>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IFERROR(__xludf.DUMMYFUNCTION("IMPORTRANGE(""https://docs.google.com/spreadsheets/d/1eHaY18a8A9IcSdp1K8H6x8fbOy06t2VsZHhMHf-1x7Y/edit?usp=sharing"",""แผน!H77"")"),0)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IFERROR(__xludf.DUMMYFUNCTION("IMPORTRANGE(""https://docs.google.com/spreadsheets/d/1eHaY18a8A9IcSdp1K8H6x8fbOy06t2VsZHhMHf-1x7Y/edit?usp=sharing"",""แผน!I77"")"),0)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IFERROR(__xludf.DUMMYFUNCTION("IMPORTRANGE(""https://docs.google.com/spreadsheets/d/1eHaY18a8A9IcSdp1K8H6x8fbOy06t2VsZHhMHf-1x7Y/edit?usp=sharing"",""แผน!F77"")"),0)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IFERROR(__xludf.DUMMYFUNCTION("IMPORTRANGE(""https://docs.google.com/spreadsheets/d/1eHaY18a8A9IcSdp1K8H6x8fbOy06t2VsZHhMHf-1x7Y/edit?usp=sharing"",""แผน!G77"")"),0)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IFERROR(__xludf.DUMMYFUNCTION("IMPORTRANGE(""https://docs.google.com/spreadsheets/d/1eHaY18a8A9IcSdp1K8H6x8fbOy06t2VsZHhMHf-1x7Y/edit?usp=sharing"",""แผน!D77"")"),0)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IFERROR(__xludf.DUMMYFUNCTION("IMPORTRANGE(""https://docs.google.com/spreadsheets/d/1eHaY18a8A9IcSdp1K8H6x8fbOy06t2VsZHhMHf-1x7Y/edit?usp=sharing"",""แผน!E77"")"),0)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IFERROR(__xludf.DUMMYFUNCTION("IMPORTRANGE(""https://docs.google.com/spreadsheets/d/1eHaY18a8A9IcSdp1K8H6x8fbOy06t2VsZHhMHf-1x7Y/edit?usp=sharing"",""แผน!J77"")"),0)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IFERROR(__xludf.DUMMYFUNCTION("IMPORTRANGE(""https://docs.google.com/spreadsheets/d/1eHaY18a8A9IcSdp1K8H6x8fbOy06t2VsZHhMHf-1x7Y/edit?usp=sharing"",""แผน!N77"")"),0)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IFERROR(__xludf.DUMMYFUNCTION("IMPORTRANGE(""https://docs.google.com/spreadsheets/d/1eHaY18a8A9IcSdp1K8H6x8fbOy06t2VsZHhMHf-1x7Y/edit?usp=sharing"",""แผน!O77"")"),0)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IFERROR(__xludf.DUMMYFUNCTION("IMPORTRANGE(""https://docs.google.com/spreadsheets/d/1eHaY18a8A9IcSdp1K8H6x8fbOy06t2VsZHhMHf-1x7Y/edit?usp=sharing"",""แผน!R77"")"),0)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15</v>
      </c>
      <c r="J116" s="128">
        <f t="shared" si="74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191460</v>
      </c>
      <c r="R117" s="133">
        <f t="shared" ca="1" si="78"/>
        <v>191460</v>
      </c>
      <c r="S117" s="133">
        <f t="shared" ca="1" si="78"/>
        <v>150225.03</v>
      </c>
      <c r="T117" s="133">
        <f t="shared" ref="T117:T125" ca="1" si="79">IF(Q117&gt;0,S117*100/Q117,0)</f>
        <v>78.462879974929493</v>
      </c>
      <c r="U117" s="133">
        <f t="shared" ref="U117:U125" ca="1" si="80">IF(R117&gt;0,S117*100/R117,0)</f>
        <v>78.462879974929493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191460</v>
      </c>
      <c r="R119" s="47">
        <f t="shared" ca="1" si="82"/>
        <v>191460</v>
      </c>
      <c r="S119" s="47">
        <f t="shared" ca="1" si="82"/>
        <v>150225.03</v>
      </c>
      <c r="T119" s="47">
        <f t="shared" ca="1" si="79"/>
        <v>78.462879974929493</v>
      </c>
      <c r="U119" s="47">
        <f t="shared" ca="1" si="80"/>
        <v>78.462879974929493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191460</v>
      </c>
      <c r="R120" s="47">
        <f t="shared" ca="1" si="84"/>
        <v>191460</v>
      </c>
      <c r="S120" s="47">
        <f t="shared" ca="1" si="84"/>
        <v>150225.03</v>
      </c>
      <c r="T120" s="47">
        <f t="shared" ca="1" si="79"/>
        <v>78.462879974929493</v>
      </c>
      <c r="U120" s="47">
        <f t="shared" ca="1" si="80"/>
        <v>78.462879974929493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IFERROR(__xludf.DUMMYFUNCTION("IMPORTRANGE(""https://docs.google.com/spreadsheets/d/1ItG2mGa2ceCfYo0BwxsXqNm01IGEUdYcSSLTEv9YCik/edit?usp=sharing"",""เบิกจ่ายกองทุน!W77"")"),150225.03)</f>
        <v>150225.03</v>
      </c>
      <c r="T122" s="47">
        <f t="shared" ca="1" si="79"/>
        <v>78.462879974929493</v>
      </c>
      <c r="U122" s="47">
        <f t="shared" ca="1" si="80"/>
        <v>78.462879974929493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IFERROR(__xludf.DUMMYFUNCTION("IMPORTRANGE(""https://docs.google.com/spreadsheets/d/1eHaY18a8A9IcSdp1K8H6x8fbOy06t2VsZHhMHf-1x7Y/edit?usp=sharing"",""แผน!FF77"")"),15)</f>
        <v>15</v>
      </c>
      <c r="J127" s="169">
        <v>15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IFERROR(__xludf.DUMMYFUNCTION("IMPORTRANGE(""https://docs.google.com/spreadsheets/d/1eHaY18a8A9IcSdp1K8H6x8fbOy06t2VsZHhMHf-1x7Y/edit?usp=sharing"",""แผน!FG77"")"),1)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IFERROR(__xludf.DUMMYFUNCTION("IMPORTRANGE(""https://docs.google.com/spreadsheets/d/1eHaY18a8A9IcSdp1K8H6x8fbOy06t2VsZHhMHf-1x7Y/edit?usp=sharing"",""แผน!FH77"")"),15)</f>
        <v>15</v>
      </c>
      <c r="J129" s="169">
        <v>15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IFERROR(__xludf.DUMMYFUNCTION("IMPORTRANGE(""https://docs.google.com/spreadsheets/d/1eHaY18a8A9IcSdp1K8H6x8fbOy06t2VsZHhMHf-1x7Y/edit?usp=sharing"",""แผน!FI77"")"),1)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1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20</v>
      </c>
      <c r="J137" s="128">
        <f t="shared" si="90"/>
        <v>20</v>
      </c>
      <c r="K137" s="35">
        <f t="shared" ca="1" si="89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2</v>
      </c>
      <c r="J138" s="128">
        <f t="shared" si="90"/>
        <v>2</v>
      </c>
      <c r="K138" s="35">
        <f t="shared" ca="1" si="89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137700</v>
      </c>
      <c r="M139" s="133">
        <f t="shared" ca="1" si="91"/>
        <v>132700</v>
      </c>
      <c r="N139" s="133">
        <f t="shared" ca="1" si="91"/>
        <v>120660.79</v>
      </c>
      <c r="O139" s="133">
        <f t="shared" ref="O139:O147" ca="1" si="92">IF(L139&gt;0,N139*100/L139,0)</f>
        <v>87.625846042120557</v>
      </c>
      <c r="P139" s="133">
        <f t="shared" ref="P139:P147" ca="1" si="93">IF(M139&gt;0,N139*100/M139,0)</f>
        <v>90.92749811605124</v>
      </c>
      <c r="Q139" s="133">
        <f t="shared" ref="Q139:S139" ca="1" si="94">Q140+Q141</f>
        <v>174860</v>
      </c>
      <c r="R139" s="133">
        <f t="shared" ca="1" si="94"/>
        <v>174860</v>
      </c>
      <c r="S139" s="133">
        <f t="shared" ca="1" si="94"/>
        <v>10120</v>
      </c>
      <c r="T139" s="133">
        <f t="shared" ref="T139:T147" ca="1" si="95">IF(Q139&gt;0,S139*100/Q139,0)</f>
        <v>5.7874871325631938</v>
      </c>
      <c r="U139" s="133">
        <f t="shared" ref="U139:U147" ca="1" si="96">IF(R139&gt;0,S139*100/R139,0)</f>
        <v>5.7874871325631938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137700</v>
      </c>
      <c r="M141" s="47">
        <f t="shared" ca="1" si="97"/>
        <v>132700</v>
      </c>
      <c r="N141" s="47">
        <f t="shared" ca="1" si="97"/>
        <v>120660.79</v>
      </c>
      <c r="O141" s="47">
        <f t="shared" ca="1" si="92"/>
        <v>87.625846042120557</v>
      </c>
      <c r="P141" s="47">
        <f t="shared" ca="1" si="93"/>
        <v>90.92749811605124</v>
      </c>
      <c r="Q141" s="47">
        <f t="shared" ca="1" si="98"/>
        <v>174860</v>
      </c>
      <c r="R141" s="47">
        <f t="shared" ca="1" si="98"/>
        <v>174860</v>
      </c>
      <c r="S141" s="47">
        <f t="shared" ca="1" si="98"/>
        <v>10120</v>
      </c>
      <c r="T141" s="47">
        <f t="shared" ca="1" si="95"/>
        <v>5.7874871325631938</v>
      </c>
      <c r="U141" s="47">
        <f t="shared" ca="1" si="96"/>
        <v>5.7874871325631938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137700</v>
      </c>
      <c r="M142" s="47">
        <f t="shared" ca="1" si="99"/>
        <v>132700</v>
      </c>
      <c r="N142" s="47">
        <f t="shared" ca="1" si="99"/>
        <v>120660.79</v>
      </c>
      <c r="O142" s="47">
        <f t="shared" ca="1" si="92"/>
        <v>87.625846042120557</v>
      </c>
      <c r="P142" s="47">
        <f t="shared" ca="1" si="93"/>
        <v>90.92749811605124</v>
      </c>
      <c r="Q142" s="47">
        <f t="shared" ref="Q142:S142" ca="1" si="100">Q143+Q144</f>
        <v>44860</v>
      </c>
      <c r="R142" s="47">
        <f t="shared" ca="1" si="100"/>
        <v>44860</v>
      </c>
      <c r="S142" s="47">
        <f t="shared" ca="1" si="100"/>
        <v>10120</v>
      </c>
      <c r="T142" s="47">
        <f t="shared" ca="1" si="95"/>
        <v>22.55907267053054</v>
      </c>
      <c r="U142" s="47">
        <f t="shared" ca="1" si="96"/>
        <v>22.55907267053054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IFERROR(__xludf.DUMMYFUNCTION("IMPORTRANGE(""https://docs.google.com/spreadsheets/d/1-uDff_7J0KD5mKrp0Vvzr7lt3OU09vwQwhkpOPPYv2Y/edit?usp=sharing"",""งบพรบ!BX77"")"),120660.79)</f>
        <v>120660.79</v>
      </c>
      <c r="O144" s="47">
        <f t="shared" ca="1" si="92"/>
        <v>87.625846042120557</v>
      </c>
      <c r="P144" s="47">
        <f t="shared" ca="1" si="93"/>
        <v>90.92749811605124</v>
      </c>
      <c r="Q144" s="47">
        <f ca="1">IFERROR(__xludf.DUMMYFUNCTION("IMPORTRANGE(""https://docs.google.com/spreadsheets/d/1ItG2mGa2ceCfYo0BwxsXqNm01IGEUdYcSSLTEv9YCik/edit?usp=sharing"",""เบิกจ่ายกองทุน!CF77"")"),44860)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IFERROR(__xludf.DUMMYFUNCTION("IMPORTRANGE(""https://docs.google.com/spreadsheets/d/1ItG2mGa2ceCfYo0BwxsXqNm01IGEUdYcSSLTEv9YCik/edit?usp=sharing"",""เบิกจ่ายกองทุน!CG77"")"),44860)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IFERROR(__xludf.DUMMYFUNCTION("IMPORTRANGE(""https://docs.google.com/spreadsheets/d/1ItG2mGa2ceCfYo0BwxsXqNm01IGEUdYcSSLTEv9YCik/edit?usp=sharing"",""เบิกจ่ายกองทุน!CH77"")"),10120)</f>
        <v>10120</v>
      </c>
      <c r="T144" s="47">
        <f t="shared" ca="1" si="95"/>
        <v>22.55907267053054</v>
      </c>
      <c r="U144" s="47">
        <f t="shared" ca="1" si="96"/>
        <v>22.55907267053054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130000</v>
      </c>
      <c r="R145" s="47">
        <f t="shared" ca="1" si="102"/>
        <v>130000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IFERROR(__xludf.DUMMYFUNCTION("IMPORTRANGE(""https://docs.google.com/spreadsheets/d/1ItG2mGa2ceCfYo0BwxsXqNm01IGEUdYcSSLTEv9YCik/edit?usp=sharing"",""เบิกจ่ายกองทุน!CI77"")"),130000)</f>
        <v>130000</v>
      </c>
      <c r="R147" s="47">
        <f ca="1">IFERROR(__xludf.DUMMYFUNCTION("IMPORTRANGE(""https://docs.google.com/spreadsheets/d/1ItG2mGa2ceCfYo0BwxsXqNm01IGEUdYcSSLTEv9YCik/edit?usp=sharing"",""เบิกจ่ายกองทุน!CJ77"")"),130000)</f>
        <v>130000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t="shared" ca="1" si="95"/>
        <v>0</v>
      </c>
      <c r="U147" s="47">
        <f t="shared" ca="1" si="96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IFERROR(__xludf.DUMMYFUNCTION("IMPORTRANGE(""https://docs.google.com/spreadsheets/d/1eHaY18a8A9IcSdp1K8H6x8fbOy06t2VsZHhMHf-1x7Y/edit?usp=sharing"",""แผน!U77"")"),10)</f>
        <v>10</v>
      </c>
      <c r="J150" s="169">
        <v>10</v>
      </c>
      <c r="K150" s="47">
        <f t="shared" ref="K150:K154" ca="1" si="103">IF(I150&gt;0,J150*100/I150,0)</f>
        <v>100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IFERROR(__xludf.DUMMYFUNCTION("IMPORTRANGE(""https://docs.google.com/spreadsheets/d/1eHaY18a8A9IcSdp1K8H6x8fbOy06t2VsZHhMHf-1x7Y/edit?usp=sharing"",""แผน!V77"")"),1)</f>
        <v>1</v>
      </c>
      <c r="J151" s="169">
        <v>1</v>
      </c>
      <c r="K151" s="47">
        <f t="shared" ca="1" si="103"/>
        <v>100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IFERROR(__xludf.DUMMYFUNCTION("IMPORTRANGE(""https://docs.google.com/spreadsheets/d/1eHaY18a8A9IcSdp1K8H6x8fbOy06t2VsZHhMHf-1x7Y/edit?usp=sharing"",""แผน!W77"")"),20)</f>
        <v>20</v>
      </c>
      <c r="J152" s="169">
        <v>20</v>
      </c>
      <c r="K152" s="47">
        <f t="shared" ca="1" si="103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IFERROR(__xludf.DUMMYFUNCTION("IMPORTRANGE(""https://docs.google.com/spreadsheets/d/1eHaY18a8A9IcSdp1K8H6x8fbOy06t2VsZHhMHf-1x7Y/edit?usp=sharing"",""แผน!X77"")"),2)</f>
        <v>2</v>
      </c>
      <c r="J153" s="169">
        <v>2</v>
      </c>
      <c r="K153" s="47">
        <f t="shared" ca="1" si="103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IFERROR(__xludf.DUMMYFUNCTION("IMPORTRANGE(""https://docs.google.com/spreadsheets/d/1eHaY18a8A9IcSdp1K8H6x8fbOy06t2VsZHhMHf-1x7Y/edit?usp=sharing"",""แผน!Y77"")"),1)</f>
        <v>1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IFERROR(__xludf.DUMMYFUNCTION("IMPORTRANGE(""https://docs.google.com/spreadsheets/d/1eHaY18a8A9IcSdp1K8H6x8fbOy06t2VsZHhMHf-1x7Y/edit?usp=sharing"",""แผน!Z77"")"),0)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IFERROR(__xludf.DUMMYFUNCTION("IMPORTRANGE(""https://docs.google.com/spreadsheets/d/1eHaY18a8A9IcSdp1K8H6x8fbOy06t2VsZHhMHf-1x7Y/edit?usp=sharing"",""แผน!Z77"")"),0)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IFERROR(__xludf.DUMMYFUNCTION("IMPORTRANGE(""https://docs.google.com/spreadsheets/d/1eHaY18a8A9IcSdp1K8H6x8fbOy06t2VsZHhMHf-1x7Y/edit?usp=sharing"",""แผน!Z77"")"),0)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7</v>
      </c>
      <c r="J172" s="222">
        <f t="shared" si="118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36840</v>
      </c>
      <c r="N173" s="133">
        <f t="shared" ca="1" si="119"/>
        <v>36840</v>
      </c>
      <c r="O173" s="133">
        <f t="shared" ref="O173:O181" ca="1" si="120">IF(L173&gt;0,N173*100/L173,0)</f>
        <v>188.0551301684533</v>
      </c>
      <c r="P173" s="133">
        <f t="shared" ref="P173:P181" ca="1" si="121">IF(M173&gt;0,N173*100/M173,0)</f>
        <v>100</v>
      </c>
      <c r="Q173" s="133">
        <f t="shared" ref="Q173:S173" ca="1" si="122">Q174+Q175</f>
        <v>0</v>
      </c>
      <c r="R173" s="133">
        <f t="shared" ca="1" si="122"/>
        <v>0</v>
      </c>
      <c r="S173" s="133">
        <f t="shared" ca="1" si="122"/>
        <v>0</v>
      </c>
      <c r="T173" s="133">
        <f t="shared" ref="T173:T181" ca="1" si="123">IF(Q173&gt;0,S173*100/Q173,0)</f>
        <v>0</v>
      </c>
      <c r="U173" s="133">
        <f t="shared" ref="U173:U181" ca="1" si="124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36840</v>
      </c>
      <c r="N175" s="47">
        <f t="shared" ca="1" si="125"/>
        <v>36840</v>
      </c>
      <c r="O175" s="47">
        <f t="shared" ca="1" si="120"/>
        <v>188.0551301684533</v>
      </c>
      <c r="P175" s="47">
        <f t="shared" ca="1" si="121"/>
        <v>100</v>
      </c>
      <c r="Q175" s="47">
        <f t="shared" ca="1" si="126"/>
        <v>0</v>
      </c>
      <c r="R175" s="47">
        <f t="shared" ca="1" si="126"/>
        <v>0</v>
      </c>
      <c r="S175" s="47">
        <f t="shared" ca="1" si="126"/>
        <v>0</v>
      </c>
      <c r="T175" s="47">
        <f t="shared" ca="1" si="123"/>
        <v>0</v>
      </c>
      <c r="U175" s="47">
        <f t="shared" ca="1" si="124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36840</v>
      </c>
      <c r="N176" s="47">
        <f t="shared" ca="1" si="127"/>
        <v>36840</v>
      </c>
      <c r="O176" s="47">
        <f t="shared" ca="1" si="120"/>
        <v>188.0551301684533</v>
      </c>
      <c r="P176" s="47">
        <f t="shared" ca="1" si="121"/>
        <v>100</v>
      </c>
      <c r="Q176" s="47">
        <f t="shared" ref="Q176:S176" ca="1" si="128">Q177+Q178</f>
        <v>0</v>
      </c>
      <c r="R176" s="47">
        <f t="shared" ca="1" si="128"/>
        <v>0</v>
      </c>
      <c r="S176" s="47">
        <f t="shared" ca="1" si="128"/>
        <v>0</v>
      </c>
      <c r="T176" s="47">
        <f t="shared" ca="1" si="123"/>
        <v>0</v>
      </c>
      <c r="U176" s="47">
        <f t="shared" ca="1" si="124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t="shared" ca="1" si="120"/>
        <v>188.0551301684533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t="shared" ca="1" si="123"/>
        <v>0</v>
      </c>
      <c r="U178" s="47">
        <f t="shared" ca="1" si="124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IFERROR(__xludf.DUMMYFUNCTION("IMPORTRANGE(""https://docs.google.com/spreadsheets/d/1eHaY18a8A9IcSdp1K8H6x8fbOy06t2VsZHhMHf-1x7Y/edit?usp=sharing"",""แผน!AA77"")"),7)</f>
        <v>7</v>
      </c>
      <c r="J183" s="169">
        <v>7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15500</v>
      </c>
      <c r="M186" s="133">
        <f t="shared" ca="1" si="133"/>
        <v>26200</v>
      </c>
      <c r="N186" s="133">
        <f t="shared" ca="1" si="133"/>
        <v>20912</v>
      </c>
      <c r="O186" s="133">
        <f t="shared" ref="O186:O194" ca="1" si="134">IF(L186&gt;0,N186*100/L186,0)</f>
        <v>134.91612903225806</v>
      </c>
      <c r="P186" s="133">
        <f t="shared" ref="P186:P194" ca="1" si="135">IF(M186&gt;0,N186*100/M186,0)</f>
        <v>79.81679389312977</v>
      </c>
      <c r="Q186" s="133">
        <f t="shared" ref="Q186:S186" ca="1" si="136">Q187+Q188</f>
        <v>14000</v>
      </c>
      <c r="R186" s="133">
        <f t="shared" ca="1" si="136"/>
        <v>14000</v>
      </c>
      <c r="S186" s="133">
        <f t="shared" ca="1" si="136"/>
        <v>14000</v>
      </c>
      <c r="T186" s="133">
        <f t="shared" ref="T186:T194" ca="1" si="137">IF(Q186&gt;0,S186*100/Q186,0)</f>
        <v>100</v>
      </c>
      <c r="U186" s="133">
        <f t="shared" ref="U186:U194" ca="1" si="138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15500</v>
      </c>
      <c r="M188" s="47">
        <f t="shared" ca="1" si="139"/>
        <v>26200</v>
      </c>
      <c r="N188" s="47">
        <f t="shared" ca="1" si="139"/>
        <v>20912</v>
      </c>
      <c r="O188" s="47">
        <f t="shared" ca="1" si="134"/>
        <v>134.91612903225806</v>
      </c>
      <c r="P188" s="47">
        <f t="shared" ca="1" si="135"/>
        <v>79.81679389312977</v>
      </c>
      <c r="Q188" s="47">
        <f t="shared" ca="1" si="140"/>
        <v>14000</v>
      </c>
      <c r="R188" s="47">
        <f t="shared" ca="1" si="140"/>
        <v>14000</v>
      </c>
      <c r="S188" s="47">
        <f t="shared" ca="1" si="140"/>
        <v>14000</v>
      </c>
      <c r="T188" s="47">
        <f t="shared" ca="1" si="137"/>
        <v>100</v>
      </c>
      <c r="U188" s="47">
        <f t="shared" ca="1" si="138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15500</v>
      </c>
      <c r="M189" s="47">
        <f t="shared" ca="1" si="141"/>
        <v>26200</v>
      </c>
      <c r="N189" s="47">
        <f t="shared" ca="1" si="141"/>
        <v>20912</v>
      </c>
      <c r="O189" s="47">
        <f t="shared" ca="1" si="134"/>
        <v>134.91612903225806</v>
      </c>
      <c r="P189" s="47">
        <f t="shared" ca="1" si="135"/>
        <v>79.81679389312977</v>
      </c>
      <c r="Q189" s="47">
        <f t="shared" ref="Q189:S189" ca="1" si="142">Q190+Q191</f>
        <v>14000</v>
      </c>
      <c r="R189" s="47">
        <f t="shared" ca="1" si="142"/>
        <v>14000</v>
      </c>
      <c r="S189" s="47">
        <f t="shared" ca="1" si="142"/>
        <v>14000</v>
      </c>
      <c r="T189" s="47">
        <f t="shared" ca="1" si="137"/>
        <v>100</v>
      </c>
      <c r="U189" s="47">
        <f t="shared" ca="1" si="138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IFERROR(__xludf.DUMMYFUNCTION("IMPORTRANGE(""https://docs.google.com/spreadsheets/d/1-uDff_7J0KD5mKrp0Vvzr7lt3OU09vwQwhkpOPPYv2Y/edit?usp=sharing"",""งบพรบ!CZ77"")"),26200)</f>
        <v>26200</v>
      </c>
      <c r="N191" s="47">
        <f ca="1">IFERROR(__xludf.DUMMYFUNCTION("IMPORTRANGE(""https://docs.google.com/spreadsheets/d/1-uDff_7J0KD5mKrp0Vvzr7lt3OU09vwQwhkpOPPYv2Y/edit?usp=sharing"",""งบพรบ!DB77"")"),20912)</f>
        <v>20912</v>
      </c>
      <c r="O191" s="47">
        <f t="shared" ca="1" si="134"/>
        <v>134.91612903225806</v>
      </c>
      <c r="P191" s="47">
        <f t="shared" ca="1" si="135"/>
        <v>79.81679389312977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IFERROR(__xludf.DUMMYFUNCTION("IMPORTRANGE(""https://docs.google.com/spreadsheets/d/1ItG2mGa2ceCfYo0BwxsXqNm01IGEUdYcSSLTEv9YCik/edit?usp=sharing"",""เบิกจ่ายกองทุน!BS77"")"),14000)</f>
        <v>14000</v>
      </c>
      <c r="T191" s="47">
        <f t="shared" ca="1" si="137"/>
        <v>100</v>
      </c>
      <c r="U191" s="47">
        <f t="shared" ca="1" si="138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IFERROR(__xludf.DUMMYFUNCTION("IMPORTRANGE(""https://docs.google.com/spreadsheets/d/1eHaY18a8A9IcSdp1K8H6x8fbOy06t2VsZHhMHf-1x7Y/edit?usp=sharing"",""แผน!AE77"")"),4)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136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136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1</v>
      </c>
      <c r="J202" s="236">
        <f t="shared" si="146"/>
        <v>1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5000</v>
      </c>
      <c r="M203" s="46"/>
      <c r="N203" s="133">
        <f>N204+N205+N206+N207</f>
        <v>5000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14000</v>
      </c>
      <c r="R203" s="180"/>
      <c r="S203" s="638">
        <f>S204+S205+S206+S207</f>
        <v>14000</v>
      </c>
      <c r="T203" s="638">
        <f ca="1">IF(Q203&gt;0,S203*100/Q203,0)</f>
        <v>100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639">
        <v>1000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IFERROR(__xludf.DUMMYFUNCTION("IMPORTRANGE(""https://docs.google.com/spreadsheets/d/1eHaY18a8A9IcSdp1K8H6x8fbOy06t2VsZHhMHf-1x7Y/edit?usp=sharing"",""แผน!AH77"")"),0)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IFERROR(__xludf.DUMMYFUNCTION("IMPORTRANGE(""https://docs.google.com/spreadsheets/d/1eHaY18a8A9IcSdp1K8H6x8fbOy06t2VsZHhMHf-1x7Y/edit?usp=sharing"",""แผน!AI77"")"),0)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639">
        <v>14000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639">
        <v>4000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IFERROR(__xludf.DUMMYFUNCTION("IMPORTRANGE(""https://docs.google.com/spreadsheets/d/1eHaY18a8A9IcSdp1K8H6x8fbOy06t2VsZHhMHf-1x7Y/edit?usp=sharing"",""แผน!AK77"")"),1)</f>
        <v>1</v>
      </c>
      <c r="J209" s="169">
        <v>1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IFERROR(__xludf.DUMMYFUNCTION("IMPORTRANGE(""https://docs.google.com/spreadsheets/d/1eHaY18a8A9IcSdp1K8H6x8fbOy06t2VsZHhMHf-1x7Y/edit?usp=sharing"",""แผน!JX77"")"),1)</f>
        <v>1</v>
      </c>
      <c r="J211" s="169">
        <v>1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IFERROR(__xludf.DUMMYFUNCTION("IMPORTRANGE(""https://docs.google.com/spreadsheets/d/1eHaY18a8A9IcSdp1K8H6x8fbOy06t2VsZHhMHf-1x7Y/edit?usp=sharing"",""แผน!JY77"")"),0)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IFERROR(__xludf.DUMMYFUNCTION("IMPORTRANGE(""https://docs.google.com/spreadsheets/d/1eHaY18a8A9IcSdp1K8H6x8fbOy06t2VsZHhMHf-1x7Y/edit?usp=sharing"",""แผน!AM77"")"),0)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IFERROR(__xludf.DUMMYFUNCTION("IMPORTRANGE(""https://docs.google.com/spreadsheets/d/1eHaY18a8A9IcSdp1K8H6x8fbOy06t2VsZHhMHf-1x7Y/edit?usp=sharing"",""แผน!AN77"")"),0)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IFERROR(__xludf.DUMMYFUNCTION("IMPORTRANGE(""https://docs.google.com/spreadsheets/d/1eHaY18a8A9IcSdp1K8H6x8fbOy06t2VsZHhMHf-1x7Y/edit?usp=sharing"",""แผน!AO77"")"),0)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IFERROR(__xludf.DUMMYFUNCTION("IMPORTRANGE(""https://docs.google.com/spreadsheets/d/1eHaY18a8A9IcSdp1K8H6x8fbOy06t2VsZHhMHf-1x7Y/edit?usp=sharing"",""แผน!LY77"")"),0)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IFERROR(__xludf.DUMMYFUNCTION("IMPORTRANGE(""https://docs.google.com/spreadsheets/d/1eHaY18a8A9IcSdp1K8H6x8fbOy06t2VsZHhMHf-1x7Y/edit?usp=sharing"",""แผน!AP77"")"),0)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IFERROR(__xludf.DUMMYFUNCTION("IMPORTRANGE(""https://docs.google.com/spreadsheets/d/1eHaY18a8A9IcSdp1K8H6x8fbOy06t2VsZHhMHf-1x7Y/edit?usp=sharing"",""แผน!AP77"")"),0)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10000</v>
      </c>
      <c r="J221" s="236">
        <f t="shared" si="150"/>
        <v>10000</v>
      </c>
      <c r="K221" s="237">
        <f t="shared" ca="1" si="149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IFERROR(__xludf.DUMMYFUNCTION("IMPORTRANGE(""https://docs.google.com/spreadsheets/d/1eHaY18a8A9IcSdp1K8H6x8fbOy06t2VsZHhMHf-1x7Y/edit?usp=sharing"",""แผน!AR77"")"),2500)</f>
        <v>2500</v>
      </c>
      <c r="M223" s="46"/>
      <c r="N223" s="639">
        <v>2500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IFERROR(__xludf.DUMMYFUNCTION("IMPORTRANGE(""https://docs.google.com/spreadsheets/d/1eHaY18a8A9IcSdp1K8H6x8fbOy06t2VsZHhMHf-1x7Y/edit?usp=sharing"",""แผน!AS77"")"),2000)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IFERROR(__xludf.DUMMYFUNCTION("IMPORTRANGE(""https://docs.google.com/spreadsheets/d/1eHaY18a8A9IcSdp1K8H6x8fbOy06t2VsZHhMHf-1x7Y/edit?usp=sharing"",""แผน!AT77"")"),0)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IFERROR(__xludf.DUMMYFUNCTION("IMPORTRANGE(""https://docs.google.com/spreadsheets/d/1eHaY18a8A9IcSdp1K8H6x8fbOy06t2VsZHhMHf-1x7Y/edit?usp=sharing"",""แผน!AV77"")"),10000)</f>
        <v>10000</v>
      </c>
      <c r="J228" s="169">
        <v>10000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IFERROR(__xludf.DUMMYFUNCTION("IMPORTRANGE(""https://docs.google.com/spreadsheets/d/1eHaY18a8A9IcSdp1K8H6x8fbOy06t2VsZHhMHf-1x7Y/edit?usp=sharing"",""แผน!AV77"")"),10000)</f>
        <v>10000</v>
      </c>
      <c r="J229" s="169">
        <v>10000</v>
      </c>
      <c r="K229" s="154">
        <f t="shared" ca="1" si="151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IFERROR(__xludf.DUMMYFUNCTION("IMPORTRANGE(""https://docs.google.com/spreadsheets/d/1eHaY18a8A9IcSdp1K8H6x8fbOy06t2VsZHhMHf-1x7Y/edit?usp=sharing"",""แผน!AU77"")"),0)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640"/>
      <c r="B242" s="641"/>
      <c r="C242" s="642" t="s">
        <v>111</v>
      </c>
      <c r="D242" s="643"/>
      <c r="E242" s="643"/>
      <c r="F242" s="643"/>
      <c r="G242" s="64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648"/>
      <c r="B243" s="649"/>
      <c r="C243" s="650" t="s">
        <v>18</v>
      </c>
      <c r="D243" s="651" t="s">
        <v>19</v>
      </c>
      <c r="E243" s="649"/>
      <c r="F243" s="649"/>
      <c r="G243" s="652"/>
      <c r="H243" s="512" t="s">
        <v>14</v>
      </c>
      <c r="I243" s="653"/>
      <c r="J243" s="653"/>
      <c r="K243" s="654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648"/>
      <c r="B244" s="658"/>
      <c r="C244" s="649"/>
      <c r="D244" s="158" t="s">
        <v>86</v>
      </c>
      <c r="E244" s="649"/>
      <c r="F244" s="649"/>
      <c r="G244" s="652"/>
      <c r="H244" s="161" t="s">
        <v>14</v>
      </c>
      <c r="I244" s="653"/>
      <c r="J244" s="653"/>
      <c r="K244" s="654"/>
      <c r="L244" s="588">
        <f ca="1">IFERROR(__xludf.DUMMYFUNCTION("IMPORTRANGE(""https://docs.google.com/spreadsheets/d/1eHaY18a8A9IcSdp1K8H6x8fbOy06t2VsZHhMHf-1x7Y/edit?usp=sharing"",""แผน!AX77"")"),0)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660"/>
      <c r="B245" s="658"/>
      <c r="C245" s="658"/>
      <c r="D245" s="158" t="s">
        <v>88</v>
      </c>
      <c r="E245" s="649"/>
      <c r="F245" s="649"/>
      <c r="G245" s="652"/>
      <c r="H245" s="161" t="s">
        <v>14</v>
      </c>
      <c r="I245" s="661"/>
      <c r="J245" s="661"/>
      <c r="K245" s="662"/>
      <c r="L245" s="588">
        <f ca="1">IFERROR(__xludf.DUMMYFUNCTION("IMPORTRANGE(""https://docs.google.com/spreadsheets/d/1eHaY18a8A9IcSdp1K8H6x8fbOy06t2VsZHhMHf-1x7Y/edit?usp=sharing"",""แผน!AY77"")"),0)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660"/>
      <c r="B246" s="658"/>
      <c r="C246" s="658"/>
      <c r="D246" s="158" t="s">
        <v>106</v>
      </c>
      <c r="E246" s="649"/>
      <c r="F246" s="649"/>
      <c r="G246" s="652"/>
      <c r="H246" s="161" t="s">
        <v>14</v>
      </c>
      <c r="I246" s="661"/>
      <c r="J246" s="661"/>
      <c r="K246" s="662"/>
      <c r="L246" s="588">
        <f ca="1">IFERROR(__xludf.DUMMYFUNCTION("IMPORTRANGE(""https://docs.google.com/spreadsheets/d/1eHaY18a8A9IcSdp1K8H6x8fbOy06t2VsZHhMHf-1x7Y/edit?usp=sharing"",""แผน!AZ77"")"),0)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660"/>
      <c r="B247" s="658"/>
      <c r="C247" s="658"/>
      <c r="D247" s="158" t="s">
        <v>107</v>
      </c>
      <c r="E247" s="649"/>
      <c r="F247" s="649"/>
      <c r="G247" s="652"/>
      <c r="H247" s="161" t="s">
        <v>14</v>
      </c>
      <c r="I247" s="661"/>
      <c r="J247" s="661"/>
      <c r="K247" s="662"/>
      <c r="L247" s="588">
        <f ca="1">IFERROR(__xludf.DUMMYFUNCTION("IMPORTRANGE(""https://docs.google.com/spreadsheets/d/1eHaY18a8A9IcSdp1K8H6x8fbOy06t2VsZHhMHf-1x7Y/edit?usp=sharing"",""แผน!BA77"")"),0)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663"/>
      <c r="B248" s="664"/>
      <c r="C248" s="665" t="s">
        <v>18</v>
      </c>
      <c r="D248" s="666" t="s">
        <v>38</v>
      </c>
      <c r="E248" s="667"/>
      <c r="F248" s="667"/>
      <c r="G248" s="668"/>
      <c r="H248" s="669"/>
      <c r="I248" s="653"/>
      <c r="J248" s="661"/>
      <c r="K248" s="662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663"/>
      <c r="B249" s="664"/>
      <c r="C249" s="664"/>
      <c r="D249" s="193" t="s">
        <v>108</v>
      </c>
      <c r="E249" s="670"/>
      <c r="F249" s="670"/>
      <c r="G249" s="669"/>
      <c r="H249" s="671" t="s">
        <v>35</v>
      </c>
      <c r="I249" s="517">
        <f ca="1">IFERROR(__xludf.DUMMYFUNCTION("IMPORTRANGE(""https://docs.google.com/spreadsheets/d/1eHaY18a8A9IcSdp1K8H6x8fbOy06t2VsZHhMHf-1x7Y/edit?usp=sharing"",""แผน!BG77"")"),0)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663"/>
      <c r="B250" s="664"/>
      <c r="C250" s="664"/>
      <c r="D250" s="672" t="s">
        <v>43</v>
      </c>
      <c r="E250" s="670"/>
      <c r="F250" s="670"/>
      <c r="G250" s="669"/>
      <c r="H250" s="669"/>
      <c r="I250" s="661"/>
      <c r="J250" s="661"/>
      <c r="K250" s="662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663"/>
      <c r="B251" s="664"/>
      <c r="C251" s="664"/>
      <c r="D251" s="664"/>
      <c r="E251" s="673" t="s">
        <v>109</v>
      </c>
      <c r="F251" s="670"/>
      <c r="G251" s="669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663"/>
      <c r="B252" s="664"/>
      <c r="C252" s="664"/>
      <c r="D252" s="664"/>
      <c r="E252" s="673" t="s">
        <v>110</v>
      </c>
      <c r="F252" s="670"/>
      <c r="G252" s="669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640"/>
      <c r="B253" s="641"/>
      <c r="C253" s="642" t="s">
        <v>112</v>
      </c>
      <c r="D253" s="643"/>
      <c r="E253" s="643"/>
      <c r="F253" s="643"/>
      <c r="G253" s="64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648"/>
      <c r="B254" s="649"/>
      <c r="C254" s="650" t="s">
        <v>18</v>
      </c>
      <c r="D254" s="674" t="s">
        <v>19</v>
      </c>
      <c r="E254" s="649"/>
      <c r="F254" s="649"/>
      <c r="G254" s="652"/>
      <c r="H254" s="512" t="s">
        <v>14</v>
      </c>
      <c r="I254" s="653"/>
      <c r="J254" s="653"/>
      <c r="K254" s="654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648"/>
      <c r="B255" s="658"/>
      <c r="C255" s="649"/>
      <c r="D255" s="158" t="s">
        <v>86</v>
      </c>
      <c r="E255" s="649"/>
      <c r="F255" s="649"/>
      <c r="G255" s="652"/>
      <c r="H255" s="161" t="s">
        <v>14</v>
      </c>
      <c r="I255" s="653"/>
      <c r="J255" s="653"/>
      <c r="K255" s="654"/>
      <c r="L255" s="588">
        <f ca="1">IFERROR(__xludf.DUMMYFUNCTION("IMPORTRANGE(""https://docs.google.com/spreadsheets/d/1eHaY18a8A9IcSdp1K8H6x8fbOy06t2VsZHhMHf-1x7Y/edit?usp=sharing"",""แผน!BB77"")"),0)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660"/>
      <c r="B256" s="658"/>
      <c r="C256" s="658"/>
      <c r="D256" s="158" t="s">
        <v>88</v>
      </c>
      <c r="E256" s="649"/>
      <c r="F256" s="649"/>
      <c r="G256" s="652"/>
      <c r="H256" s="161" t="s">
        <v>14</v>
      </c>
      <c r="I256" s="661"/>
      <c r="J256" s="661"/>
      <c r="K256" s="662"/>
      <c r="L256" s="588">
        <f ca="1">IFERROR(__xludf.DUMMYFUNCTION("IMPORTRANGE(""https://docs.google.com/spreadsheets/d/1eHaY18a8A9IcSdp1K8H6x8fbOy06t2VsZHhMHf-1x7Y/edit?usp=sharing"",""แผน!BC77"")"),0)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660"/>
      <c r="B257" s="658"/>
      <c r="C257" s="658"/>
      <c r="D257" s="158" t="s">
        <v>106</v>
      </c>
      <c r="E257" s="649"/>
      <c r="F257" s="649"/>
      <c r="G257" s="652"/>
      <c r="H257" s="161" t="s">
        <v>14</v>
      </c>
      <c r="I257" s="661"/>
      <c r="J257" s="661"/>
      <c r="K257" s="662"/>
      <c r="L257" s="588">
        <f ca="1">IFERROR(__xludf.DUMMYFUNCTION("IMPORTRANGE(""https://docs.google.com/spreadsheets/d/1eHaY18a8A9IcSdp1K8H6x8fbOy06t2VsZHhMHf-1x7Y/edit?usp=sharing"",""แผน!BD77"")"),0)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660"/>
      <c r="B258" s="658"/>
      <c r="C258" s="658"/>
      <c r="D258" s="158" t="s">
        <v>107</v>
      </c>
      <c r="E258" s="649"/>
      <c r="F258" s="649"/>
      <c r="G258" s="652"/>
      <c r="H258" s="161" t="s">
        <v>14</v>
      </c>
      <c r="I258" s="661"/>
      <c r="J258" s="661"/>
      <c r="K258" s="662"/>
      <c r="L258" s="588">
        <f ca="1">IFERROR(__xludf.DUMMYFUNCTION("IMPORTRANGE(""https://docs.google.com/spreadsheets/d/1eHaY18a8A9IcSdp1K8H6x8fbOy06t2VsZHhMHf-1x7Y/edit?usp=sharing"",""แผน!BE77"")"),0)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663"/>
      <c r="B259" s="664"/>
      <c r="C259" s="665" t="s">
        <v>18</v>
      </c>
      <c r="D259" s="666" t="s">
        <v>38</v>
      </c>
      <c r="E259" s="667"/>
      <c r="F259" s="667"/>
      <c r="G259" s="668"/>
      <c r="H259" s="669"/>
      <c r="I259" s="653"/>
      <c r="J259" s="661"/>
      <c r="K259" s="662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663"/>
      <c r="B260" s="664"/>
      <c r="C260" s="664"/>
      <c r="D260" s="193" t="s">
        <v>108</v>
      </c>
      <c r="E260" s="670"/>
      <c r="F260" s="670"/>
      <c r="G260" s="669"/>
      <c r="H260" s="671" t="s">
        <v>35</v>
      </c>
      <c r="I260" s="517">
        <f ca="1">IFERROR(__xludf.DUMMYFUNCTION("IMPORTRANGE(""https://docs.google.com/spreadsheets/d/1eHaY18a8A9IcSdp1K8H6x8fbOy06t2VsZHhMHf-1x7Y/edit?usp=sharing"",""แผน!BH77"")"),0)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663"/>
      <c r="B261" s="664"/>
      <c r="C261" s="664"/>
      <c r="D261" s="672" t="s">
        <v>43</v>
      </c>
      <c r="E261" s="670"/>
      <c r="F261" s="670"/>
      <c r="G261" s="669"/>
      <c r="H261" s="669"/>
      <c r="I261" s="661"/>
      <c r="J261" s="661"/>
      <c r="K261" s="662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663"/>
      <c r="B262" s="664"/>
      <c r="C262" s="664"/>
      <c r="D262" s="664"/>
      <c r="E262" s="673" t="s">
        <v>109</v>
      </c>
      <c r="F262" s="670"/>
      <c r="G262" s="669"/>
      <c r="H262" s="671" t="s">
        <v>35</v>
      </c>
      <c r="I262" s="661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663"/>
      <c r="B263" s="664"/>
      <c r="C263" s="664"/>
      <c r="D263" s="664"/>
      <c r="E263" s="673" t="s">
        <v>110</v>
      </c>
      <c r="F263" s="670"/>
      <c r="G263" s="669"/>
      <c r="H263" s="671" t="s">
        <v>61</v>
      </c>
      <c r="I263" s="661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22</v>
      </c>
      <c r="J265" s="686">
        <f t="shared" si="162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23500</v>
      </c>
      <c r="N266" s="441">
        <f t="shared" ca="1" si="163"/>
        <v>12720</v>
      </c>
      <c r="O266" s="441">
        <f t="shared" ref="O266:O274" ca="1" si="164">IF(L266&gt;0,N266*100/L266,0)</f>
        <v>254.4</v>
      </c>
      <c r="P266" s="441">
        <f t="shared" ref="P266:P274" ca="1" si="165">IF(M266&gt;0,N266*100/M266,0)</f>
        <v>54.127659574468083</v>
      </c>
      <c r="Q266" s="441">
        <f t="shared" ref="Q266:S266" ca="1" si="166">Q267+Q268</f>
        <v>50660</v>
      </c>
      <c r="R266" s="441">
        <f t="shared" ca="1" si="166"/>
        <v>50660</v>
      </c>
      <c r="S266" s="441">
        <f t="shared" ca="1" si="166"/>
        <v>37760</v>
      </c>
      <c r="T266" s="441">
        <f t="shared" ref="T266:T274" ca="1" si="167">IF(Q266&gt;0,S266*100/Q266,0)</f>
        <v>74.53612317410186</v>
      </c>
      <c r="U266" s="441">
        <f t="shared" ref="U266:U274" ca="1" si="168">IF(R266&gt;0,S266*100/R266,0)</f>
        <v>74.53612317410186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23500</v>
      </c>
      <c r="N268" s="352">
        <f t="shared" ca="1" si="169"/>
        <v>12720</v>
      </c>
      <c r="O268" s="352">
        <f t="shared" ca="1" si="164"/>
        <v>254.4</v>
      </c>
      <c r="P268" s="352">
        <f t="shared" ca="1" si="165"/>
        <v>54.127659574468083</v>
      </c>
      <c r="Q268" s="352">
        <f t="shared" ca="1" si="170"/>
        <v>50660</v>
      </c>
      <c r="R268" s="352">
        <f t="shared" ca="1" si="170"/>
        <v>50660</v>
      </c>
      <c r="S268" s="352">
        <f t="shared" ca="1" si="170"/>
        <v>37760</v>
      </c>
      <c r="T268" s="352">
        <f t="shared" ca="1" si="167"/>
        <v>74.53612317410186</v>
      </c>
      <c r="U268" s="352">
        <f t="shared" ca="1" si="168"/>
        <v>74.53612317410186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23500</v>
      </c>
      <c r="N269" s="352">
        <f t="shared" ca="1" si="171"/>
        <v>12720</v>
      </c>
      <c r="O269" s="352">
        <f t="shared" ca="1" si="164"/>
        <v>254.4</v>
      </c>
      <c r="P269" s="352">
        <f t="shared" ca="1" si="165"/>
        <v>54.127659574468083</v>
      </c>
      <c r="Q269" s="352">
        <f t="shared" ref="Q269:S269" ca="1" si="172">Q270+Q271</f>
        <v>50660</v>
      </c>
      <c r="R269" s="352">
        <f t="shared" ca="1" si="172"/>
        <v>50660</v>
      </c>
      <c r="S269" s="352">
        <f t="shared" ca="1" si="172"/>
        <v>37760</v>
      </c>
      <c r="T269" s="352">
        <f t="shared" ca="1" si="167"/>
        <v>74.53612317410186</v>
      </c>
      <c r="U269" s="352">
        <f t="shared" ca="1" si="168"/>
        <v>74.53612317410186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IFERROR(__xludf.DUMMYFUNCTION("IMPORTRANGE(""https://docs.google.com/spreadsheets/d/1-uDff_7J0KD5mKrp0Vvzr7lt3OU09vwQwhkpOPPYv2Y/edit?usp=sharing"",""งบพรบ!DE77"")"),5000)</f>
        <v>5000</v>
      </c>
      <c r="M271" s="352">
        <f ca="1">IFERROR(__xludf.DUMMYFUNCTION("IMPORTRANGE(""https://docs.google.com/spreadsheets/d/1-uDff_7J0KD5mKrp0Vvzr7lt3OU09vwQwhkpOPPYv2Y/edit?usp=sharing"",""งบพรบ!DJ77"")"),23500)</f>
        <v>23500</v>
      </c>
      <c r="N271" s="352">
        <f ca="1">IFERROR(__xludf.DUMMYFUNCTION("IMPORTRANGE(""https://docs.google.com/spreadsheets/d/1-uDff_7J0KD5mKrp0Vvzr7lt3OU09vwQwhkpOPPYv2Y/edit?usp=sharing"",""งบพรบ!DL77"")"),12720)</f>
        <v>12720</v>
      </c>
      <c r="O271" s="352">
        <f t="shared" ca="1" si="164"/>
        <v>254.4</v>
      </c>
      <c r="P271" s="352">
        <f t="shared" ca="1" si="165"/>
        <v>54.127659574468083</v>
      </c>
      <c r="Q271" s="352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352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352">
        <f t="shared" ca="1" si="167"/>
        <v>74.53612317410186</v>
      </c>
      <c r="U271" s="352">
        <f t="shared" ca="1" si="168"/>
        <v>74.53612317410186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IFERROR(__xludf.DUMMYFUNCTION("IMPORTRANGE(""https://docs.google.com/spreadsheets/d/1-uDff_7J0KD5mKrp0Vvzr7lt3OU09vwQwhkpOPPYv2Y/edit?usp=sharing"",""งบพรบ!DH77"")"),0)</f>
        <v>0</v>
      </c>
      <c r="M274" s="352">
        <f ca="1">IFERROR(__xludf.DUMMYFUNCTION("IMPORTRANGE(""https://docs.google.com/spreadsheets/d/1-uDff_7J0KD5mKrp0Vvzr7lt3OU09vwQwhkpOPPYv2Y/edit?usp=sharing"",""งบพรบ!DK77"")"),0)</f>
        <v>0</v>
      </c>
      <c r="N274" s="352">
        <f ca="1">IFERROR(__xludf.DUMMYFUNCTION("IMPORTRANGE(""https://docs.google.com/spreadsheets/d/1-uDff_7J0KD5mKrp0Vvzr7lt3OU09vwQwhkpOPPYv2Y/edit?usp=sharing"",""งบพรบ!DM77"")"),0)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IFERROR(__xludf.DUMMYFUNCTION("IMPORTRANGE(""https://docs.google.com/spreadsheets/d/1eHaY18a8A9IcSdp1K8H6x8fbOy06t2VsZHhMHf-1x7Y/edit?usp=sharing"",""แผน!EC77"")"),22)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61"/>
      <c r="B277" s="862"/>
      <c r="C277" s="862"/>
      <c r="D277" s="698" t="s">
        <v>116</v>
      </c>
      <c r="E277" s="863"/>
      <c r="F277" s="863"/>
      <c r="G277" s="864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IFERROR(__xludf.DUMMYFUNCTION("IMPORTRANGE(""https://docs.google.com/spreadsheets/d/1eHaY18a8A9IcSdp1K8H6x8fbOy06t2VsZHhMHf-1x7Y/edit?usp=sharing"",""แผน!EE77"")"),0)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IFERROR(__xludf.DUMMYFUNCTION("IMPORTRANGE(""https://docs.google.com/spreadsheets/d/1eHaY18a8A9IcSdp1K8H6x8fbOy06t2VsZHhMHf-1x7Y/edit?usp=sharing"",""แผน!ED77"")"),0)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IFERROR(__xludf.DUMMYFUNCTION("IMPORTRANGE(""https://docs.google.com/spreadsheets/d/1eHaY18a8A9IcSdp1K8H6x8fbOy06t2VsZHhMHf-1x7Y/edit?usp=sharing"",""แผน!ED77"")"),0)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IFERROR(__xludf.DUMMYFUNCTION("IMPORTRANGE(""https://docs.google.com/spreadsheets/d/1eHaY18a8A9IcSdp1K8H6x8fbOy06t2VsZHhMHf-1x7Y/edit?usp=sharing"",""แผน!ED77"")"),0)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25</v>
      </c>
      <c r="J302" s="321">
        <f t="shared" si="192"/>
        <v>25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229336.17</v>
      </c>
      <c r="R303" s="133">
        <f t="shared" ca="1" si="196"/>
        <v>233536</v>
      </c>
      <c r="S303" s="133">
        <f t="shared" ca="1" si="196"/>
        <v>157043</v>
      </c>
      <c r="T303" s="133">
        <f t="shared" ref="T303:T311" ca="1" si="197">IF(Q303&gt;0,S303*100/Q303,0)</f>
        <v>68.477205318288867</v>
      </c>
      <c r="U303" s="133">
        <f t="shared" ref="U303:U311" ca="1" si="198">IF(R303&gt;0,S303*100/R303,0)</f>
        <v>67.245735132913126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229336.17</v>
      </c>
      <c r="R305" s="47">
        <f t="shared" ca="1" si="200"/>
        <v>233536</v>
      </c>
      <c r="S305" s="47">
        <f t="shared" ca="1" si="200"/>
        <v>157043</v>
      </c>
      <c r="T305" s="47">
        <f t="shared" ca="1" si="197"/>
        <v>68.477205318288867</v>
      </c>
      <c r="U305" s="47">
        <f t="shared" ca="1" si="198"/>
        <v>67.245735132913126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229336.17</v>
      </c>
      <c r="R306" s="47">
        <f t="shared" ca="1" si="202"/>
        <v>233536</v>
      </c>
      <c r="S306" s="47">
        <f t="shared" ca="1" si="202"/>
        <v>157043</v>
      </c>
      <c r="T306" s="47">
        <f t="shared" ca="1" si="197"/>
        <v>68.477205318288867</v>
      </c>
      <c r="U306" s="47">
        <f t="shared" ca="1" si="198"/>
        <v>67.245735132913126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IFERROR(__xludf.DUMMYFUNCTION("IMPORTRANGE(""https://docs.google.com/spreadsheets/d/1ItG2mGa2ceCfYo0BwxsXqNm01IGEUdYcSSLTEv9YCik/edit?usp=sharing"",""เบิกจ่ายกองทุน!BC77"")"),233536)</f>
        <v>233536</v>
      </c>
      <c r="S308" s="47">
        <f ca="1">IFERROR(__xludf.DUMMYFUNCTION("IMPORTRANGE(""https://docs.google.com/spreadsheets/d/1ItG2mGa2ceCfYo0BwxsXqNm01IGEUdYcSSLTEv9YCik/edit?usp=sharing"",""เบิกจ่ายกองทุน!BD77"")"),157043)</f>
        <v>157043</v>
      </c>
      <c r="T308" s="47">
        <f t="shared" ca="1" si="197"/>
        <v>68.477205318288867</v>
      </c>
      <c r="U308" s="47">
        <f t="shared" ca="1" si="198"/>
        <v>67.245735132913126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IFERROR(__xludf.DUMMYFUNCTION("IMPORTRANGE(""https://docs.google.com/spreadsheets/d/1eHaY18a8A9IcSdp1K8H6x8fbOy06t2VsZHhMHf-1x7Y/edit?usp=sharing"",""แผน!EF77"")"),25)</f>
        <v>25</v>
      </c>
      <c r="J314" s="169">
        <v>25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t="shared" ca="1" si="207"/>
        <v>0</v>
      </c>
      <c r="P325" s="47">
        <f t="shared" ca="1" si="208"/>
        <v>0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IFERROR(__xludf.DUMMYFUNCTION("IMPORTRANGE(""https://docs.google.com/spreadsheets/d/1eHaY18a8A9IcSdp1K8H6x8fbOy06t2VsZHhMHf-1x7Y/edit?usp=sharing"",""แผน!EJ77"")"),0)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IFERROR(__xludf.DUMMYFUNCTION("IMPORTRANGE(""https://docs.google.com/spreadsheets/d/1eHaY18a8A9IcSdp1K8H6x8fbOy06t2VsZHhMHf-1x7Y/edit?usp=sharing"",""แผน!EK77"")"),1700)</f>
        <v>1700</v>
      </c>
      <c r="J332" s="718">
        <f ca="1">J344+J347+J348+J349+J353+J354</f>
        <v>7052</v>
      </c>
      <c r="K332" s="719">
        <f ca="1">IF(I332&gt;0,J332*100/I332,0)</f>
        <v>414.8235294117647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181000</v>
      </c>
      <c r="M333" s="133">
        <f t="shared" ca="1" si="218"/>
        <v>181000</v>
      </c>
      <c r="N333" s="133">
        <f t="shared" ca="1" si="218"/>
        <v>155602.09</v>
      </c>
      <c r="O333" s="133">
        <f t="shared" ref="O333:O341" ca="1" si="219">IF(L333&gt;0,N333*100/L333,0)</f>
        <v>85.96800552486188</v>
      </c>
      <c r="P333" s="133">
        <f t="shared" ref="P333:P341" ca="1" si="220">IF(M333&gt;0,N333*100/M333,0)</f>
        <v>85.96800552486188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181000</v>
      </c>
      <c r="M335" s="47">
        <f t="shared" ca="1" si="224"/>
        <v>181000</v>
      </c>
      <c r="N335" s="47">
        <f t="shared" ca="1" si="224"/>
        <v>155602.09</v>
      </c>
      <c r="O335" s="47">
        <f t="shared" ca="1" si="219"/>
        <v>85.96800552486188</v>
      </c>
      <c r="P335" s="47">
        <f t="shared" ca="1" si="220"/>
        <v>85.96800552486188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181000</v>
      </c>
      <c r="M336" s="47">
        <f t="shared" ca="1" si="226"/>
        <v>181000</v>
      </c>
      <c r="N336" s="47">
        <f t="shared" ca="1" si="226"/>
        <v>155602.09</v>
      </c>
      <c r="O336" s="47">
        <f t="shared" ca="1" si="219"/>
        <v>85.96800552486188</v>
      </c>
      <c r="P336" s="47">
        <f t="shared" ca="1" si="220"/>
        <v>85.96800552486188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IFERROR(__xludf.DUMMYFUNCTION("IMPORTRANGE(""https://docs.google.com/spreadsheets/d/1-uDff_7J0KD5mKrp0Vvzr7lt3OU09vwQwhkpOPPYv2Y/edit?usp=sharing"",""งบพรบ!EX77"")"),181000)</f>
        <v>181000</v>
      </c>
      <c r="N338" s="47">
        <f ca="1">IFERROR(__xludf.DUMMYFUNCTION("IMPORTRANGE(""https://docs.google.com/spreadsheets/d/1-uDff_7J0KD5mKrp0Vvzr7lt3OU09vwQwhkpOPPYv2Y/edit?usp=sharing"",""งบพรบ!EZ77"")"),155602.09)</f>
        <v>155602.09</v>
      </c>
      <c r="O338" s="47">
        <f t="shared" ca="1" si="219"/>
        <v>85.96800552486188</v>
      </c>
      <c r="P338" s="47">
        <f t="shared" ca="1" si="220"/>
        <v>85.96800552486188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t="shared" ca="1" si="219"/>
        <v>0</v>
      </c>
      <c r="P341" s="47">
        <f t="shared" ca="1" si="220"/>
        <v>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3811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IFERROR(__xludf.DUMMYFUNCTION("IMPORTRANGE(""https://docs.google.com/spreadsheets/d/1awYsYK3VOup2i3Pq_Yjnu8DRu_mYwSBnCR2QPthd0rU/edit?usp=sharing"",""ศูนย์ยกเว้นโฉนด!D77"")"),3810)</f>
        <v>3810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IFERROR(__xludf.DUMMYFUNCTION("IMPORTRANGE(""https://docs.google.com/spreadsheets/d/1eHaY18a8A9IcSdp1K8H6x8fbOy06t2VsZHhMHf-1x7Y/edit?usp=sharing"",""แผน!EL77"")"),4)</f>
        <v>4</v>
      </c>
      <c r="J346" s="37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150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3241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IFERROR(__xludf.DUMMYFUNCTION("IMPORTRANGE(""https://docs.google.com/spreadsheets/d/1awYsYK3VOup2i3Pq_Yjnu8DRu_mYwSBnCR2QPthd0rU/edit?usp=sharing"",""โฉนดM3!G77"")"),3935)</f>
        <v>3935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IFERROR(__xludf.DUMMYFUNCTION("IMPORTRANGE(""https://docs.google.com/spreadsheets/d/1awYsYK3VOup2i3Pq_Yjnu8DRu_mYwSBnCR2QPthd0rU/edit?usp=sharing"",""โฉนดM3!H77"")"),2628)</f>
        <v>2628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IFERROR(__xludf.DUMMYFUNCTION("IMPORTRANGE(""https://docs.google.com/spreadsheets/d/1awYsYK3VOup2i3Pq_Yjnu8DRu_mYwSBnCR2QPthd0rU/edit?usp=sharing"",""โฉนดM3!I77"")"),613)</f>
        <v>613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619060</v>
      </c>
      <c r="M356" s="133">
        <f t="shared" ca="1" si="230"/>
        <v>717060</v>
      </c>
      <c r="N356" s="133">
        <f t="shared" ca="1" si="230"/>
        <v>637936.15</v>
      </c>
      <c r="O356" s="133">
        <f t="shared" ref="O356:O364" ca="1" si="231">IF(L356&gt;0,N356*100/L356,0)</f>
        <v>103.04916324750428</v>
      </c>
      <c r="P356" s="133">
        <f t="shared" ref="P356:P364" ca="1" si="232">IF(M356&gt;0,N356*100/M356,0)</f>
        <v>88.965518924497246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619060</v>
      </c>
      <c r="M358" s="47">
        <f t="shared" ca="1" si="236"/>
        <v>717060</v>
      </c>
      <c r="N358" s="47">
        <f t="shared" ca="1" si="236"/>
        <v>637936.15</v>
      </c>
      <c r="O358" s="47">
        <f t="shared" ca="1" si="231"/>
        <v>103.04916324750428</v>
      </c>
      <c r="P358" s="47">
        <f t="shared" ca="1" si="232"/>
        <v>88.965518924497246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619060</v>
      </c>
      <c r="M359" s="47">
        <f t="shared" ca="1" si="238"/>
        <v>717060</v>
      </c>
      <c r="N359" s="47">
        <f t="shared" ca="1" si="238"/>
        <v>637936.15</v>
      </c>
      <c r="O359" s="47">
        <f t="shared" ca="1" si="231"/>
        <v>103.04916324750428</v>
      </c>
      <c r="P359" s="47">
        <f t="shared" ca="1" si="232"/>
        <v>88.965518924497246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IFERROR(__xludf.DUMMYFUNCTION("IMPORTRANGE(""https://docs.google.com/spreadsheets/d/1-uDff_7J0KD5mKrp0Vvzr7lt3OU09vwQwhkpOPPYv2Y/edit?usp=sharing"",""งบพรบ!FH77"")"),717060)</f>
        <v>717060</v>
      </c>
      <c r="N361" s="47">
        <f ca="1">IFERROR(__xludf.DUMMYFUNCTION("IMPORTRANGE(""https://docs.google.com/spreadsheets/d/1-uDff_7J0KD5mKrp0Vvzr7lt3OU09vwQwhkpOPPYv2Y/edit?usp=sharing"",""งบพรบ!FJ77"")"),637936.15)</f>
        <v>637936.15</v>
      </c>
      <c r="O361" s="47">
        <f t="shared" ca="1" si="231"/>
        <v>103.04916324750428</v>
      </c>
      <c r="P361" s="47">
        <f t="shared" ca="1" si="232"/>
        <v>88.965518924497246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113</v>
      </c>
      <c r="J365" s="236">
        <f t="shared" ca="1" si="242"/>
        <v>145</v>
      </c>
      <c r="K365" s="237">
        <f ca="1">IF(I365&gt;0,J365*100/I365,0)</f>
        <v>128.31858407079645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IFERROR(__xludf.DUMMYFUNCTION("IMPORTRANGE(""https://docs.google.com/spreadsheets/d/1tdoBKaGub7dwA3U6UFTqxio9LNnvDCQjHKmttSEBsFQ/edit?usp=sharing"",""จัดที่ดิน!AB77"")"),176)</f>
        <v>176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IFERROR(__xludf.DUMMYFUNCTION("IMPORTRANGE(""https://docs.google.com/spreadsheets/d/1eHaY18a8A9IcSdp1K8H6x8fbOy06t2VsZHhMHf-1x7Y/edit?usp=sharing"",""แผน!EW77"")"),640)</f>
        <v>640</v>
      </c>
      <c r="J368" s="729">
        <f ca="1">IFERROR(__xludf.DUMMYFUNCTION("IMPORTRANGE(""https://docs.google.com/spreadsheets/d/1tdoBKaGub7dwA3U6UFTqxio9LNnvDCQjHKmttSEBsFQ/edit?usp=sharing"",""จัดที่ดิน!AC77"")"),1661.77)</f>
        <v>1661.77</v>
      </c>
      <c r="K368" s="47">
        <f t="shared" ca="1" si="243"/>
        <v>259.65156250000001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IFERROR(__xludf.DUMMYFUNCTION("IMPORTRANGE(""https://docs.google.com/spreadsheets/d/1eHaY18a8A9IcSdp1K8H6x8fbOy06t2VsZHhMHf-1x7Y/edit?usp=sharing"",""แผน!EX77"")"),113)</f>
        <v>113</v>
      </c>
      <c r="J369" s="372">
        <f ca="1">IFERROR(__xludf.DUMMYFUNCTION("IMPORTRANGE(""https://docs.google.com/spreadsheets/d/1tdoBKaGub7dwA3U6UFTqxio9LNnvDCQjHKmttSEBsFQ/edit?usp=sharing"",""จัดที่ดิน!AD77"")"),147)</f>
        <v>147</v>
      </c>
      <c r="K369" s="47">
        <f t="shared" ca="1" si="243"/>
        <v>130.08849557522123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IFERROR(__xludf.DUMMYFUNCTION("IMPORTRANGE(""https://docs.google.com/spreadsheets/d/1tdoBKaGub7dwA3U6UFTqxio9LNnvDCQjHKmttSEBsFQ/edit?usp=sharing"",""จัดที่ดิน!AE77"")"),1532)</f>
        <v>1532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IFERROR(__xludf.DUMMYFUNCTION("IMPORTRANGE(""https://docs.google.com/spreadsheets/d/1eHaY18a8A9IcSdp1K8H6x8fbOy06t2VsZHhMHf-1x7Y/edit?usp=sharing"",""แผน!EY77"")"),113)</f>
        <v>113</v>
      </c>
      <c r="J371" s="372">
        <f ca="1">IFERROR(__xludf.DUMMYFUNCTION("IMPORTRANGE(""https://docs.google.com/spreadsheets/d/1tdoBKaGub7dwA3U6UFTqxio9LNnvDCQjHKmttSEBsFQ/edit?usp=sharing"",""จัดที่ดิน!AF77"")"),145)</f>
        <v>145</v>
      </c>
      <c r="K371" s="47">
        <f t="shared" ca="1" si="243"/>
        <v>128.31858407079645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IFERROR(__xludf.DUMMYFUNCTION("IMPORTRANGE(""https://docs.google.com/spreadsheets/d/1tdoBKaGub7dwA3U6UFTqxio9LNnvDCQjHKmttSEBsFQ/edit?usp=sharing"",""จัดที่ดิน!AG77"")"),1524.22)</f>
        <v>1524.22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1000</v>
      </c>
      <c r="J374" s="737">
        <f t="shared" ca="1" si="244"/>
        <v>521</v>
      </c>
      <c r="K374" s="738">
        <f ca="1">IF(I374&gt;0,J374*100/I374,0)</f>
        <v>52.1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0</v>
      </c>
      <c r="M375" s="133">
        <f t="shared" ca="1" si="245"/>
        <v>0</v>
      </c>
      <c r="N375" s="133">
        <f t="shared" ca="1" si="245"/>
        <v>0</v>
      </c>
      <c r="O375" s="133">
        <f t="shared" ref="O375:O383" ca="1" si="246">IF(L375&gt;0,N375*100/L375,0)</f>
        <v>0</v>
      </c>
      <c r="P375" s="133">
        <f t="shared" ref="P375:P383" ca="1" si="247">IF(M375&gt;0,N375*100/M375,0)</f>
        <v>0</v>
      </c>
      <c r="Q375" s="133">
        <f t="shared" ref="Q375:S375" ca="1" si="248">Q376+Q377</f>
        <v>62500</v>
      </c>
      <c r="R375" s="133">
        <f t="shared" ca="1" si="248"/>
        <v>62500</v>
      </c>
      <c r="S375" s="133">
        <f t="shared" ca="1" si="248"/>
        <v>39000</v>
      </c>
      <c r="T375" s="133">
        <f t="shared" ref="T375:T383" ca="1" si="249">IF(Q375&gt;0,S375*100/Q375,0)</f>
        <v>62.4</v>
      </c>
      <c r="U375" s="133">
        <f t="shared" ref="U375:U383" ca="1" si="250">IF(R375&gt;0,S375*100/R375,0)</f>
        <v>62.4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0</v>
      </c>
      <c r="M377" s="47">
        <f t="shared" ca="1" si="251"/>
        <v>0</v>
      </c>
      <c r="N377" s="47">
        <f t="shared" ca="1" si="251"/>
        <v>0</v>
      </c>
      <c r="O377" s="47">
        <f t="shared" ca="1" si="246"/>
        <v>0</v>
      </c>
      <c r="P377" s="47">
        <f t="shared" ca="1" si="247"/>
        <v>0</v>
      </c>
      <c r="Q377" s="47">
        <f t="shared" ca="1" si="252"/>
        <v>62500</v>
      </c>
      <c r="R377" s="47">
        <f t="shared" ca="1" si="252"/>
        <v>62500</v>
      </c>
      <c r="S377" s="47">
        <f t="shared" ca="1" si="252"/>
        <v>39000</v>
      </c>
      <c r="T377" s="47">
        <f t="shared" ca="1" si="249"/>
        <v>62.4</v>
      </c>
      <c r="U377" s="47">
        <f t="shared" ca="1" si="250"/>
        <v>62.4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0</v>
      </c>
      <c r="M378" s="47">
        <f t="shared" ca="1" si="253"/>
        <v>0</v>
      </c>
      <c r="N378" s="47">
        <f t="shared" ca="1" si="253"/>
        <v>0</v>
      </c>
      <c r="O378" s="47">
        <f t="shared" ca="1" si="246"/>
        <v>0</v>
      </c>
      <c r="P378" s="47">
        <f t="shared" ca="1" si="247"/>
        <v>0</v>
      </c>
      <c r="Q378" s="47">
        <f t="shared" ref="Q378:S378" ca="1" si="254">Q379+Q380</f>
        <v>62500</v>
      </c>
      <c r="R378" s="47">
        <f t="shared" ca="1" si="254"/>
        <v>62500</v>
      </c>
      <c r="S378" s="47">
        <f t="shared" ca="1" si="254"/>
        <v>39000</v>
      </c>
      <c r="T378" s="47">
        <f t="shared" ca="1" si="249"/>
        <v>62.4</v>
      </c>
      <c r="U378" s="47">
        <f t="shared" ca="1" si="250"/>
        <v>62.4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t="shared" ca="1" si="246"/>
        <v>0</v>
      </c>
      <c r="P380" s="47">
        <f t="shared" ca="1" si="247"/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IFERROR(__xludf.DUMMYFUNCTION("IMPORTRANGE(""https://docs.google.com/spreadsheets/d/1ItG2mGa2ceCfYo0BwxsXqNm01IGEUdYcSSLTEv9YCik/edit?usp=sharing"",""เบิกจ่ายกองทุน!BY77"")"),39000)</f>
        <v>39000</v>
      </c>
      <c r="T380" s="47">
        <f t="shared" ca="1" si="249"/>
        <v>62.4</v>
      </c>
      <c r="U380" s="47">
        <f t="shared" ca="1" si="250"/>
        <v>62.4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IFERROR(__xludf.DUMMYFUNCTION("IMPORTRANGE(""https://docs.google.com/spreadsheets/d/1w5rwWK1o49a35cNtocGL0gxDwhFSTZUQu90BiH9_zqM/edit?usp=sharing"",""RTK!H77"")"),29)</f>
        <v>29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IFERROR(__xludf.DUMMYFUNCTION("IMPORTRANGE(""https://docs.google.com/spreadsheets/d/1w5rwWK1o49a35cNtocGL0gxDwhFSTZUQu90BiH9_zqM/edit?usp=sharing"",""RTK!G77"")"),1000)</f>
        <v>1000</v>
      </c>
      <c r="J386" s="372">
        <f ca="1">IFERROR(__xludf.DUMMYFUNCTION("IMPORTRANGE(""https://docs.google.com/spreadsheets/d/1w5rwWK1o49a35cNtocGL0gxDwhFSTZUQu90BiH9_zqM/edit?usp=sharing"",""RTK!I77"")"),521)</f>
        <v>521</v>
      </c>
      <c r="K386" s="47">
        <f t="shared" ca="1" si="257"/>
        <v>52.1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IFERROR(__xludf.DUMMYFUNCTION("IMPORTRANGE(""https://docs.google.com/spreadsheets/d/1w5rwWK1o49a35cNtocGL0gxDwhFSTZUQu90BiH9_zqM/edit?usp=sharing"",""RTK!L77"")"),0)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IFERROR(__xludf.DUMMYFUNCTION("IMPORTRANGE(""https://docs.google.com/spreadsheets/d/1w5rwWK1o49a35cNtocGL0gxDwhFSTZUQu90BiH9_zqM/edit?usp=sharing"",""RTK!K77"")"),0)</f>
        <v>0</v>
      </c>
      <c r="J388" s="351">
        <f ca="1">IFERROR(__xludf.DUMMYFUNCTION("IMPORTRANGE(""https://docs.google.com/spreadsheets/d/1w5rwWK1o49a35cNtocGL0gxDwhFSTZUQu90BiH9_zqM/edit?usp=sharing"",""RTK!M77"")"),0)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26015</v>
      </c>
      <c r="J412" s="321">
        <f t="shared" si="271"/>
        <v>26015.96</v>
      </c>
      <c r="K412" s="322">
        <f ca="1">IF(I412&gt;0,J412*100/I412,0)</f>
        <v>100.00369017874303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2">L414+L415</f>
        <v>403280</v>
      </c>
      <c r="M413" s="133">
        <f t="shared" ca="1" si="272"/>
        <v>439920</v>
      </c>
      <c r="N413" s="133">
        <f t="shared" ca="1" si="272"/>
        <v>256581.36</v>
      </c>
      <c r="O413" s="133">
        <f t="shared" ref="O413:O421" ca="1" si="273">IF(L413&gt;0,N413*100/L413,0)</f>
        <v>63.623626264630033</v>
      </c>
      <c r="P413" s="133">
        <f t="shared" ref="P413:P421" ca="1" si="274">IF(M413&gt;0,N413*100/M413,0)</f>
        <v>58.324549918166937</v>
      </c>
      <c r="Q413" s="133">
        <f t="shared" ref="Q413:S413" ca="1" si="275">Q414+Q415</f>
        <v>64430</v>
      </c>
      <c r="R413" s="133">
        <f t="shared" ca="1" si="275"/>
        <v>64430</v>
      </c>
      <c r="S413" s="133">
        <f t="shared" ca="1" si="275"/>
        <v>0</v>
      </c>
      <c r="T413" s="133">
        <f t="shared" ref="T413:T421" ca="1" si="276">IF(Q413&gt;0,S413*100/Q413,0)</f>
        <v>0</v>
      </c>
      <c r="U413" s="133">
        <f t="shared" ref="U413:U421" ca="1" si="277">IF(R413&gt;0,S413*100/R413,0)</f>
        <v>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403280</v>
      </c>
      <c r="M415" s="47">
        <f t="shared" ca="1" si="278"/>
        <v>439920</v>
      </c>
      <c r="N415" s="47">
        <f t="shared" ca="1" si="278"/>
        <v>256581.36</v>
      </c>
      <c r="O415" s="47">
        <f t="shared" ca="1" si="273"/>
        <v>63.623626264630033</v>
      </c>
      <c r="P415" s="47">
        <f t="shared" ca="1" si="274"/>
        <v>58.324549918166937</v>
      </c>
      <c r="Q415" s="47">
        <f t="shared" ca="1" si="279"/>
        <v>64430</v>
      </c>
      <c r="R415" s="47">
        <f t="shared" ca="1" si="279"/>
        <v>64430</v>
      </c>
      <c r="S415" s="47">
        <f t="shared" ca="1" si="279"/>
        <v>0</v>
      </c>
      <c r="T415" s="47">
        <f t="shared" ca="1" si="276"/>
        <v>0</v>
      </c>
      <c r="U415" s="47">
        <f t="shared" ca="1" si="277"/>
        <v>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0">L417+L418</f>
        <v>403280</v>
      </c>
      <c r="M416" s="47">
        <f t="shared" ca="1" si="280"/>
        <v>439920</v>
      </c>
      <c r="N416" s="47">
        <f t="shared" ca="1" si="280"/>
        <v>256581.36</v>
      </c>
      <c r="O416" s="47">
        <f t="shared" ca="1" si="273"/>
        <v>63.623626264630033</v>
      </c>
      <c r="P416" s="47">
        <f t="shared" ca="1" si="274"/>
        <v>58.324549918166937</v>
      </c>
      <c r="Q416" s="47">
        <f t="shared" ref="Q416:S416" ca="1" si="281">Q417+Q418</f>
        <v>64430</v>
      </c>
      <c r="R416" s="47">
        <f t="shared" ca="1" si="281"/>
        <v>64430</v>
      </c>
      <c r="S416" s="47">
        <f t="shared" ca="1" si="281"/>
        <v>0</v>
      </c>
      <c r="T416" s="47">
        <f t="shared" ca="1" si="276"/>
        <v>0</v>
      </c>
      <c r="U416" s="47">
        <f t="shared" ca="1" si="277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IFERROR(__xludf.DUMMYFUNCTION("IMPORTRANGE(""https://docs.google.com/spreadsheets/d/1-uDff_7J0KD5mKrp0Vvzr7lt3OU09vwQwhkpOPPYv2Y/edit?usp=sharing"",""งบพรบ!IT77"")"),439920)</f>
        <v>439920</v>
      </c>
      <c r="N418" s="47">
        <f ca="1">IFERROR(__xludf.DUMMYFUNCTION("IMPORTRANGE(""https://docs.google.com/spreadsheets/d/1-uDff_7J0KD5mKrp0Vvzr7lt3OU09vwQwhkpOPPYv2Y/edit?usp=sharing"",""งบพรบ!IV77"")"),256581.36)</f>
        <v>256581.36</v>
      </c>
      <c r="O418" s="47">
        <f t="shared" ca="1" si="273"/>
        <v>63.623626264630033</v>
      </c>
      <c r="P418" s="47">
        <f t="shared" ca="1" si="274"/>
        <v>58.324549918166937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t="shared" ca="1" si="276"/>
        <v>0</v>
      </c>
      <c r="U418" s="47">
        <f t="shared" ca="1" si="277"/>
        <v>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ca="1">I440</f>
        <v>26015</v>
      </c>
      <c r="J423" s="749">
        <f>J432</f>
        <v>26015.96</v>
      </c>
      <c r="K423" s="489">
        <f t="shared" ref="K423:K425" ca="1" si="284">IF(I423&gt;0,J423*100/I423,0)</f>
        <v>100.00369017874303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IFERROR(__xludf.DUMMYFUNCTION("IMPORTRANGE(""https://docs.google.com/spreadsheets/d/1eHaY18a8A9IcSdp1K8H6x8fbOy06t2VsZHhMHf-1x7Y/edit?usp=sharing"",""แผน!HJ77"")"),26015)</f>
        <v>26015</v>
      </c>
      <c r="J424" s="751">
        <f t="shared" ref="J424:J425" si="285">J426+J428+J430</f>
        <v>26015.91</v>
      </c>
      <c r="K424" s="133">
        <f t="shared" ca="1" si="284"/>
        <v>100.00349798193351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IFERROR(__xludf.DUMMYFUNCTION("IMPORTRANGE(""https://docs.google.com/spreadsheets/d/1eHaY18a8A9IcSdp1K8H6x8fbOy06t2VsZHhMHf-1x7Y/edit?usp=sharing"",""แผน!HK77"")"),2978)</f>
        <v>2978</v>
      </c>
      <c r="J425" s="751">
        <f t="shared" si="285"/>
        <v>2978</v>
      </c>
      <c r="K425" s="133">
        <f t="shared" ca="1" si="284"/>
        <v>100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21995.62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2586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1907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200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2113.29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192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IFERROR(__xludf.DUMMYFUNCTION("IMPORTRANGE(""https://docs.google.com/spreadsheets/d/1eHaY18a8A9IcSdp1K8H6x8fbOy06t2VsZHhMHf-1x7Y/edit?usp=sharing"",""แผน!HJ77"")"),26015)</f>
        <v>26015</v>
      </c>
      <c r="J432" s="751">
        <f t="shared" ref="J432:J433" si="286">J434+J436+J438</f>
        <v>26015.96</v>
      </c>
      <c r="K432" s="133">
        <f t="shared" ref="K432:K433" ca="1" si="287">IF(I432&gt;0,J432*100/I432,0)</f>
        <v>100.00369017874303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IFERROR(__xludf.DUMMYFUNCTION("IMPORTRANGE(""https://docs.google.com/spreadsheets/d/1eHaY18a8A9IcSdp1K8H6x8fbOy06t2VsZHhMHf-1x7Y/edit?usp=sharing"",""แผน!HK77"")"),2978)</f>
        <v>2978</v>
      </c>
      <c r="J433" s="751">
        <f t="shared" si="286"/>
        <v>2978</v>
      </c>
      <c r="K433" s="133">
        <f t="shared" ca="1" si="287"/>
        <v>100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21996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2586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1906.67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200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2113.29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192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IFERROR(__xludf.DUMMYFUNCTION("IMPORTRANGE(""https://docs.google.com/spreadsheets/d/1eHaY18a8A9IcSdp1K8H6x8fbOy06t2VsZHhMHf-1x7Y/edit?usp=sharing"",""แผน!HJ77"")"),26015)</f>
        <v>26015</v>
      </c>
      <c r="J440" s="751">
        <f t="shared" ref="J440:J441" si="288">J442+J444+J446+J452+J454</f>
        <v>0</v>
      </c>
      <c r="K440" s="133">
        <f t="shared" ref="K440:K441" ca="1" si="289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IFERROR(__xludf.DUMMYFUNCTION("IMPORTRANGE(""https://docs.google.com/spreadsheets/d/1eHaY18a8A9IcSdp1K8H6x8fbOy06t2VsZHhMHf-1x7Y/edit?usp=sharing"",""แผน!HK77"")"),2978)</f>
        <v>2978</v>
      </c>
      <c r="J441" s="751">
        <f t="shared" si="288"/>
        <v>0</v>
      </c>
      <c r="K441" s="133">
        <f t="shared" ca="1" si="289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0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0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1">I457</f>
        <v>1291.4000000000001</v>
      </c>
      <c r="J456" s="754">
        <f t="shared" si="291"/>
        <v>257.43</v>
      </c>
      <c r="K456" s="489">
        <f t="shared" ref="K456:K458" ca="1" si="292">IF(I456&gt;0,J456*100/I456,0)</f>
        <v>19.934179959733623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IFERROR(__xludf.DUMMYFUNCTION("IMPORTRANGE(""https://docs.google.com/spreadsheets/d/1eHaY18a8A9IcSdp1K8H6x8fbOy06t2VsZHhMHf-1x7Y/edit?usp=sharing"",""แผน!HL77"")"),1291.4)</f>
        <v>1291.4000000000001</v>
      </c>
      <c r="J457" s="751">
        <f t="shared" ref="J457:J458" si="293">J459+J467+J473</f>
        <v>257.43</v>
      </c>
      <c r="K457" s="133">
        <f t="shared" ca="1" si="292"/>
        <v>19.934179959733623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IFERROR(__xludf.DUMMYFUNCTION("IMPORTRANGE(""https://docs.google.com/spreadsheets/d/1eHaY18a8A9IcSdp1K8H6x8fbOy06t2VsZHhMHf-1x7Y/edit?usp=sharing"",""แผน!HM77"")"),170)</f>
        <v>170</v>
      </c>
      <c r="J458" s="751">
        <f t="shared" si="293"/>
        <v>43</v>
      </c>
      <c r="K458" s="133">
        <f t="shared" ca="1" si="292"/>
        <v>25.294117647058822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4">J461+J463</f>
        <v>227.81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4"/>
        <v>38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153.24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24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74.569999999999993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14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5">J469+J471</f>
        <v>29.62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5"/>
        <v>5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27.87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4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1.75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1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6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7">J478+J480</f>
        <v>0</v>
      </c>
      <c r="K476" s="764">
        <f t="shared" si="296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7"/>
        <v>0</v>
      </c>
      <c r="K477" s="764">
        <f t="shared" si="296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v>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v>0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865">
        <f ca="1">IFERROR(__xludf.DUMMYFUNCTION("IMPORTRANGE(""https://docs.google.com/spreadsheets/d/1eHaY18a8A9IcSdp1K8H6x8fbOy06t2VsZHhMHf-1x7Y/edit?usp=sharing"",""แผน!HO77"")"),28)</f>
        <v>28</v>
      </c>
      <c r="J484" s="763">
        <f t="shared" ref="J484:J485" si="298">J486+J488+J490</f>
        <v>28</v>
      </c>
      <c r="K484" s="764">
        <f t="shared" ref="K484:K485" ca="1" si="299">IF(I484&gt;0,J484*100/I484,0)</f>
        <v>100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865">
        <f ca="1">IFERROR(__xludf.DUMMYFUNCTION("IMPORTRANGE(""https://docs.google.com/spreadsheets/d/1eHaY18a8A9IcSdp1K8H6x8fbOy06t2VsZHhMHf-1x7Y/edit?usp=sharing"",""แผน!HN77"")"),3)</f>
        <v>3</v>
      </c>
      <c r="J485" s="763">
        <f t="shared" si="298"/>
        <v>3</v>
      </c>
      <c r="K485" s="764">
        <f t="shared" ca="1" si="299"/>
        <v>100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28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3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0">I503</f>
        <v>0</v>
      </c>
      <c r="J492" s="321">
        <f t="shared" ca="1" si="300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1">L494+L495</f>
        <v>0</v>
      </c>
      <c r="M493" s="133">
        <f t="shared" ca="1" si="301"/>
        <v>0</v>
      </c>
      <c r="N493" s="133">
        <f t="shared" ca="1" si="301"/>
        <v>0</v>
      </c>
      <c r="O493" s="133">
        <f t="shared" ref="O493:O501" ca="1" si="302">IF(L493&gt;0,N493*100/L493,0)</f>
        <v>0</v>
      </c>
      <c r="P493" s="133">
        <f t="shared" ref="P493:P501" ca="1" si="303">IF(M493&gt;0,N493*100/M493,0)</f>
        <v>0</v>
      </c>
      <c r="Q493" s="133">
        <f t="shared" ref="Q493:S493" ca="1" si="304">Q494+Q495</f>
        <v>0</v>
      </c>
      <c r="R493" s="133">
        <f t="shared" ca="1" si="304"/>
        <v>0</v>
      </c>
      <c r="S493" s="133">
        <f t="shared" ca="1" si="304"/>
        <v>0</v>
      </c>
      <c r="T493" s="133">
        <f t="shared" ref="T493:T501" ca="1" si="305">IF(Q493&gt;0,S493*100/Q493,0)</f>
        <v>0</v>
      </c>
      <c r="U493" s="133">
        <f t="shared" ref="U493:U501" ca="1" si="306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7">L497+L500</f>
        <v>0</v>
      </c>
      <c r="M494" s="49">
        <f t="shared" si="307"/>
        <v>0</v>
      </c>
      <c r="N494" s="49">
        <f t="shared" si="307"/>
        <v>0</v>
      </c>
      <c r="O494" s="49">
        <f t="shared" si="302"/>
        <v>0</v>
      </c>
      <c r="P494" s="49">
        <f t="shared" si="303"/>
        <v>0</v>
      </c>
      <c r="Q494" s="49">
        <f t="shared" ref="Q494:S495" si="308">Q497+Q500</f>
        <v>0</v>
      </c>
      <c r="R494" s="49">
        <f t="shared" si="308"/>
        <v>0</v>
      </c>
      <c r="S494" s="49">
        <f t="shared" si="308"/>
        <v>0</v>
      </c>
      <c r="T494" s="49">
        <f t="shared" si="305"/>
        <v>0</v>
      </c>
      <c r="U494" s="49">
        <f t="shared" si="306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7"/>
        <v>0</v>
      </c>
      <c r="M495" s="47">
        <f t="shared" ca="1" si="307"/>
        <v>0</v>
      </c>
      <c r="N495" s="47">
        <f t="shared" ca="1" si="307"/>
        <v>0</v>
      </c>
      <c r="O495" s="47">
        <f t="shared" ca="1" si="302"/>
        <v>0</v>
      </c>
      <c r="P495" s="47">
        <f t="shared" ca="1" si="303"/>
        <v>0</v>
      </c>
      <c r="Q495" s="47">
        <f t="shared" ca="1" si="308"/>
        <v>0</v>
      </c>
      <c r="R495" s="47">
        <f t="shared" ca="1" si="308"/>
        <v>0</v>
      </c>
      <c r="S495" s="47">
        <f t="shared" ca="1" si="308"/>
        <v>0</v>
      </c>
      <c r="T495" s="47">
        <f t="shared" ca="1" si="305"/>
        <v>0</v>
      </c>
      <c r="U495" s="47">
        <f t="shared" ca="1" si="306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09">L497+L498</f>
        <v>0</v>
      </c>
      <c r="M496" s="47">
        <f t="shared" ca="1" si="309"/>
        <v>0</v>
      </c>
      <c r="N496" s="47">
        <f t="shared" ca="1" si="309"/>
        <v>0</v>
      </c>
      <c r="O496" s="47">
        <f t="shared" ca="1" si="302"/>
        <v>0</v>
      </c>
      <c r="P496" s="47">
        <f t="shared" ca="1" si="303"/>
        <v>0</v>
      </c>
      <c r="Q496" s="47">
        <f t="shared" ref="Q496:S496" ca="1" si="310">Q497+Q498</f>
        <v>0</v>
      </c>
      <c r="R496" s="47">
        <f t="shared" ca="1" si="310"/>
        <v>0</v>
      </c>
      <c r="S496" s="47">
        <f t="shared" ca="1" si="310"/>
        <v>0</v>
      </c>
      <c r="T496" s="47">
        <f t="shared" ca="1" si="305"/>
        <v>0</v>
      </c>
      <c r="U496" s="47">
        <f t="shared" ca="1" si="306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2"/>
        <v>0</v>
      </c>
      <c r="P497" s="49">
        <f t="shared" si="303"/>
        <v>0</v>
      </c>
      <c r="Q497" s="49">
        <v>0</v>
      </c>
      <c r="R497" s="49">
        <v>0</v>
      </c>
      <c r="S497" s="49">
        <v>0</v>
      </c>
      <c r="T497" s="49">
        <f t="shared" si="305"/>
        <v>0</v>
      </c>
      <c r="U497" s="49">
        <f t="shared" si="306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t="shared" ca="1" si="302"/>
        <v>0</v>
      </c>
      <c r="P498" s="47">
        <f t="shared" ca="1" si="303"/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t="shared" ca="1" si="305"/>
        <v>0</v>
      </c>
      <c r="U498" s="47">
        <f t="shared" ca="1" si="306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1">L500+L501</f>
        <v>0</v>
      </c>
      <c r="M499" s="47">
        <f t="shared" ca="1" si="311"/>
        <v>0</v>
      </c>
      <c r="N499" s="47">
        <f t="shared" ca="1" si="311"/>
        <v>0</v>
      </c>
      <c r="O499" s="47">
        <f t="shared" ca="1" si="302"/>
        <v>0</v>
      </c>
      <c r="P499" s="47">
        <f t="shared" ca="1" si="303"/>
        <v>0</v>
      </c>
      <c r="Q499" s="47">
        <f t="shared" ref="Q499:S499" si="312">Q500+Q501</f>
        <v>0</v>
      </c>
      <c r="R499" s="47">
        <f t="shared" si="312"/>
        <v>0</v>
      </c>
      <c r="S499" s="47">
        <f t="shared" si="312"/>
        <v>0</v>
      </c>
      <c r="T499" s="47">
        <f t="shared" si="305"/>
        <v>0</v>
      </c>
      <c r="U499" s="47">
        <f t="shared" si="306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2"/>
        <v>0</v>
      </c>
      <c r="P500" s="49">
        <f t="shared" si="303"/>
        <v>0</v>
      </c>
      <c r="Q500" s="49">
        <v>0</v>
      </c>
      <c r="R500" s="49">
        <v>0</v>
      </c>
      <c r="S500" s="49">
        <v>0</v>
      </c>
      <c r="T500" s="49">
        <f t="shared" si="305"/>
        <v>0</v>
      </c>
      <c r="U500" s="49">
        <f t="shared" si="306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t="shared" ca="1" si="302"/>
        <v>0</v>
      </c>
      <c r="P501" s="47">
        <f t="shared" ca="1" si="303"/>
        <v>0</v>
      </c>
      <c r="Q501" s="47">
        <v>0</v>
      </c>
      <c r="R501" s="47">
        <v>0</v>
      </c>
      <c r="S501" s="47">
        <v>0</v>
      </c>
      <c r="T501" s="47">
        <f t="shared" si="305"/>
        <v>0</v>
      </c>
      <c r="U501" s="47">
        <f t="shared" si="306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IFERROR(__xludf.DUMMYFUNCTION("IMPORTRANGE(""https://docs.google.com/spreadsheets/d/1eHaY18a8A9IcSdp1K8H6x8fbOy06t2VsZHhMHf-1x7Y/edit?usp=sharing"",""แผน!GX77"")"),0)</f>
        <v>0</v>
      </c>
      <c r="J503" s="371">
        <f ca="1">IF(AND(J504=I504,J505=I505,J506=I506,J507=I507),I503,0)</f>
        <v>0</v>
      </c>
      <c r="K503" s="133">
        <f t="shared" ref="K503:K509" ca="1" si="313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IFERROR(__xludf.DUMMYFUNCTION("IMPORTRANGE(""https://docs.google.com/spreadsheets/d/1eHaY18a8A9IcSdp1K8H6x8fbOy06t2VsZHhMHf-1x7Y/edit?usp=sharing"",""แผน!GY77"")"),0)</f>
        <v>0</v>
      </c>
      <c r="J504" s="169">
        <v>0</v>
      </c>
      <c r="K504" s="47">
        <f t="shared" ca="1" si="313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IFERROR(__xludf.DUMMYFUNCTION("IMPORTRANGE(""https://docs.google.com/spreadsheets/d/1eHaY18a8A9IcSdp1K8H6x8fbOy06t2VsZHhMHf-1x7Y/edit?usp=sharing"",""แผน!GZ77"")"),0)</f>
        <v>0</v>
      </c>
      <c r="J505" s="169">
        <v>0</v>
      </c>
      <c r="K505" s="47">
        <f t="shared" ca="1" si="313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IFERROR(__xludf.DUMMYFUNCTION("IMPORTRANGE(""https://docs.google.com/spreadsheets/d/1eHaY18a8A9IcSdp1K8H6x8fbOy06t2VsZHhMHf-1x7Y/edit?usp=sharing"",""แผน!HA77"")"),0)</f>
        <v>0</v>
      </c>
      <c r="J506" s="169">
        <v>0</v>
      </c>
      <c r="K506" s="47">
        <f t="shared" ca="1" si="313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IFERROR(__xludf.DUMMYFUNCTION("IMPORTRANGE(""https://docs.google.com/spreadsheets/d/1eHaY18a8A9IcSdp1K8H6x8fbOy06t2VsZHhMHf-1x7Y/edit?usp=sharing"",""แผน!HB77"")"),0)</f>
        <v>0</v>
      </c>
      <c r="J507" s="169">
        <v>0</v>
      </c>
      <c r="K507" s="47">
        <f t="shared" ca="1" si="313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3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IFERROR(__xludf.DUMMYFUNCTION("IMPORTRANGE(""https://docs.google.com/spreadsheets/d/1eHaY18a8A9IcSdp1K8H6x8fbOy06t2VsZHhMHf-1x7Y/edit?usp=sharing"",""แผน!HC77"")"),0)</f>
        <v>0</v>
      </c>
      <c r="J509" s="378">
        <v>0</v>
      </c>
      <c r="K509" s="111">
        <f t="shared" ca="1" si="313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4">I524</f>
        <v>0</v>
      </c>
      <c r="J512" s="855">
        <f t="shared" si="314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5">L514+L515</f>
        <v>0</v>
      </c>
      <c r="M513" s="133">
        <f t="shared" ca="1" si="315"/>
        <v>0</v>
      </c>
      <c r="N513" s="133">
        <f t="shared" ca="1" si="315"/>
        <v>0</v>
      </c>
      <c r="O513" s="133">
        <f t="shared" ref="O513:O521" ca="1" si="316">IF(L513&gt;0,N513*100/L513,0)</f>
        <v>0</v>
      </c>
      <c r="P513" s="133">
        <f t="shared" ref="P513:P521" ca="1" si="317">IF(M513&gt;0,N513*100/M513,0)</f>
        <v>0</v>
      </c>
      <c r="Q513" s="133">
        <f t="shared" ref="Q513:S513" si="318">Q514+Q515</f>
        <v>0</v>
      </c>
      <c r="R513" s="133">
        <f t="shared" si="318"/>
        <v>0</v>
      </c>
      <c r="S513" s="133">
        <f t="shared" si="318"/>
        <v>0</v>
      </c>
      <c r="T513" s="133">
        <f t="shared" ref="T513:T521" si="319">IF(Q513&gt;0,S513*100/Q513,0)</f>
        <v>0</v>
      </c>
      <c r="U513" s="133">
        <f t="shared" ref="U513:U521" si="320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1">L517+L520</f>
        <v>0</v>
      </c>
      <c r="M514" s="49">
        <f t="shared" si="321"/>
        <v>0</v>
      </c>
      <c r="N514" s="49">
        <f t="shared" si="321"/>
        <v>0</v>
      </c>
      <c r="O514" s="49">
        <f t="shared" si="316"/>
        <v>0</v>
      </c>
      <c r="P514" s="49">
        <f t="shared" si="317"/>
        <v>0</v>
      </c>
      <c r="Q514" s="49">
        <f t="shared" ref="Q514:S515" si="322">Q517+Q520</f>
        <v>0</v>
      </c>
      <c r="R514" s="49">
        <f t="shared" si="322"/>
        <v>0</v>
      </c>
      <c r="S514" s="49">
        <f t="shared" si="322"/>
        <v>0</v>
      </c>
      <c r="T514" s="49">
        <f t="shared" si="319"/>
        <v>0</v>
      </c>
      <c r="U514" s="49">
        <f t="shared" si="320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1"/>
        <v>0</v>
      </c>
      <c r="M515" s="47">
        <f t="shared" ca="1" si="321"/>
        <v>0</v>
      </c>
      <c r="N515" s="47">
        <f t="shared" ca="1" si="321"/>
        <v>0</v>
      </c>
      <c r="O515" s="47">
        <f t="shared" ca="1" si="316"/>
        <v>0</v>
      </c>
      <c r="P515" s="47">
        <f t="shared" ca="1" si="317"/>
        <v>0</v>
      </c>
      <c r="Q515" s="47">
        <f t="shared" si="322"/>
        <v>0</v>
      </c>
      <c r="R515" s="47">
        <f t="shared" si="322"/>
        <v>0</v>
      </c>
      <c r="S515" s="47">
        <f t="shared" si="322"/>
        <v>0</v>
      </c>
      <c r="T515" s="47">
        <f t="shared" si="319"/>
        <v>0</v>
      </c>
      <c r="U515" s="47">
        <f t="shared" si="320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3">L517+L518</f>
        <v>0</v>
      </c>
      <c r="M516" s="47">
        <f t="shared" ca="1" si="323"/>
        <v>0</v>
      </c>
      <c r="N516" s="47">
        <f t="shared" ca="1" si="323"/>
        <v>0</v>
      </c>
      <c r="O516" s="47">
        <f t="shared" ca="1" si="316"/>
        <v>0</v>
      </c>
      <c r="P516" s="47">
        <f t="shared" ca="1" si="317"/>
        <v>0</v>
      </c>
      <c r="Q516" s="47">
        <f t="shared" ref="Q516:S516" si="324">Q517+Q518</f>
        <v>0</v>
      </c>
      <c r="R516" s="47">
        <f t="shared" si="324"/>
        <v>0</v>
      </c>
      <c r="S516" s="47">
        <f t="shared" si="324"/>
        <v>0</v>
      </c>
      <c r="T516" s="47">
        <f t="shared" si="319"/>
        <v>0</v>
      </c>
      <c r="U516" s="47">
        <f t="shared" si="320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6"/>
        <v>0</v>
      </c>
      <c r="P517" s="49">
        <f t="shared" si="317"/>
        <v>0</v>
      </c>
      <c r="Q517" s="49">
        <v>0</v>
      </c>
      <c r="R517" s="49">
        <v>0</v>
      </c>
      <c r="S517" s="49">
        <v>0</v>
      </c>
      <c r="T517" s="49">
        <f t="shared" si="319"/>
        <v>0</v>
      </c>
      <c r="U517" s="49">
        <f t="shared" si="320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t="shared" ca="1" si="316"/>
        <v>0</v>
      </c>
      <c r="P518" s="47">
        <f t="shared" ca="1" si="317"/>
        <v>0</v>
      </c>
      <c r="Q518" s="47">
        <v>0</v>
      </c>
      <c r="R518" s="47">
        <v>0</v>
      </c>
      <c r="S518" s="47">
        <v>0</v>
      </c>
      <c r="T518" s="47">
        <f t="shared" si="319"/>
        <v>0</v>
      </c>
      <c r="U518" s="47">
        <f t="shared" si="320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5">L520+L521</f>
        <v>0</v>
      </c>
      <c r="M519" s="47">
        <f t="shared" ca="1" si="325"/>
        <v>0</v>
      </c>
      <c r="N519" s="47">
        <f t="shared" ca="1" si="325"/>
        <v>0</v>
      </c>
      <c r="O519" s="47">
        <f t="shared" ca="1" si="316"/>
        <v>0</v>
      </c>
      <c r="P519" s="47">
        <f t="shared" ca="1" si="317"/>
        <v>0</v>
      </c>
      <c r="Q519" s="47">
        <f t="shared" ref="Q519:S519" si="326">Q520+Q521</f>
        <v>0</v>
      </c>
      <c r="R519" s="47">
        <f t="shared" si="326"/>
        <v>0</v>
      </c>
      <c r="S519" s="47">
        <f t="shared" si="326"/>
        <v>0</v>
      </c>
      <c r="T519" s="47">
        <f t="shared" si="319"/>
        <v>0</v>
      </c>
      <c r="U519" s="47">
        <f t="shared" si="320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6"/>
        <v>0</v>
      </c>
      <c r="P520" s="49">
        <f t="shared" si="317"/>
        <v>0</v>
      </c>
      <c r="Q520" s="49">
        <v>0</v>
      </c>
      <c r="R520" s="49">
        <v>0</v>
      </c>
      <c r="S520" s="49">
        <v>0</v>
      </c>
      <c r="T520" s="49">
        <f t="shared" si="319"/>
        <v>0</v>
      </c>
      <c r="U520" s="49">
        <f t="shared" si="320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t="shared" ca="1" si="316"/>
        <v>0</v>
      </c>
      <c r="P521" s="47">
        <f t="shared" ca="1" si="317"/>
        <v>0</v>
      </c>
      <c r="Q521" s="47">
        <v>0</v>
      </c>
      <c r="R521" s="47">
        <v>0</v>
      </c>
      <c r="S521" s="47">
        <v>0</v>
      </c>
      <c r="T521" s="47">
        <f t="shared" si="319"/>
        <v>0</v>
      </c>
      <c r="U521" s="47">
        <f t="shared" si="320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7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7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28">I545</f>
        <v>0</v>
      </c>
      <c r="J533" s="818">
        <f t="shared" si="328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29">L535+L536</f>
        <v>0</v>
      </c>
      <c r="M534" s="133">
        <f t="shared" ca="1" si="329"/>
        <v>0</v>
      </c>
      <c r="N534" s="133">
        <f t="shared" ca="1" si="329"/>
        <v>0</v>
      </c>
      <c r="O534" s="133">
        <f t="shared" ref="O534:O542" ca="1" si="330">IF(L534&gt;0,N534*100/L534,0)</f>
        <v>0</v>
      </c>
      <c r="P534" s="133">
        <f t="shared" ref="P534:P542" ca="1" si="331">IF(M534&gt;0,N534*100/M534,0)</f>
        <v>0</v>
      </c>
      <c r="Q534" s="133">
        <f t="shared" ref="Q534:S534" si="332">Q535+Q536</f>
        <v>0</v>
      </c>
      <c r="R534" s="133">
        <f t="shared" si="332"/>
        <v>0</v>
      </c>
      <c r="S534" s="133">
        <f t="shared" si="332"/>
        <v>0</v>
      </c>
      <c r="T534" s="133">
        <f t="shared" ref="T534:T542" si="333">IF(Q534&gt;0,S534*100/Q534,0)</f>
        <v>0</v>
      </c>
      <c r="U534" s="133">
        <f t="shared" ref="U534:U542" si="334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5">L538+L541</f>
        <v>0</v>
      </c>
      <c r="M535" s="49">
        <f t="shared" si="335"/>
        <v>0</v>
      </c>
      <c r="N535" s="49">
        <f t="shared" si="335"/>
        <v>0</v>
      </c>
      <c r="O535" s="49">
        <f t="shared" si="330"/>
        <v>0</v>
      </c>
      <c r="P535" s="49">
        <f t="shared" si="331"/>
        <v>0</v>
      </c>
      <c r="Q535" s="49">
        <f t="shared" ref="Q535:S536" si="336">Q538+Q541</f>
        <v>0</v>
      </c>
      <c r="R535" s="49">
        <f t="shared" si="336"/>
        <v>0</v>
      </c>
      <c r="S535" s="49">
        <f t="shared" si="336"/>
        <v>0</v>
      </c>
      <c r="T535" s="49">
        <f t="shared" si="333"/>
        <v>0</v>
      </c>
      <c r="U535" s="49">
        <f t="shared" si="334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5"/>
        <v>0</v>
      </c>
      <c r="M536" s="47">
        <f t="shared" ca="1" si="335"/>
        <v>0</v>
      </c>
      <c r="N536" s="47">
        <f t="shared" ca="1" si="335"/>
        <v>0</v>
      </c>
      <c r="O536" s="47">
        <f t="shared" ca="1" si="330"/>
        <v>0</v>
      </c>
      <c r="P536" s="47">
        <f t="shared" ca="1" si="331"/>
        <v>0</v>
      </c>
      <c r="Q536" s="47">
        <f t="shared" si="336"/>
        <v>0</v>
      </c>
      <c r="R536" s="47">
        <f t="shared" si="336"/>
        <v>0</v>
      </c>
      <c r="S536" s="47">
        <f t="shared" si="336"/>
        <v>0</v>
      </c>
      <c r="T536" s="47">
        <f t="shared" si="333"/>
        <v>0</v>
      </c>
      <c r="U536" s="47">
        <f t="shared" si="334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7">L538+L539</f>
        <v>0</v>
      </c>
      <c r="M537" s="47">
        <f t="shared" ca="1" si="337"/>
        <v>0</v>
      </c>
      <c r="N537" s="47">
        <f t="shared" ca="1" si="337"/>
        <v>0</v>
      </c>
      <c r="O537" s="47">
        <f t="shared" ca="1" si="330"/>
        <v>0</v>
      </c>
      <c r="P537" s="47">
        <f t="shared" ca="1" si="331"/>
        <v>0</v>
      </c>
      <c r="Q537" s="47">
        <f t="shared" ref="Q537:S537" si="338">Q538+Q539</f>
        <v>0</v>
      </c>
      <c r="R537" s="47">
        <f t="shared" si="338"/>
        <v>0</v>
      </c>
      <c r="S537" s="47">
        <f t="shared" si="338"/>
        <v>0</v>
      </c>
      <c r="T537" s="47">
        <f t="shared" si="333"/>
        <v>0</v>
      </c>
      <c r="U537" s="47">
        <f t="shared" si="334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0"/>
        <v>0</v>
      </c>
      <c r="P538" s="49">
        <f t="shared" si="331"/>
        <v>0</v>
      </c>
      <c r="Q538" s="49">
        <v>0</v>
      </c>
      <c r="R538" s="49">
        <v>0</v>
      </c>
      <c r="S538" s="49">
        <v>0</v>
      </c>
      <c r="T538" s="49">
        <f t="shared" si="333"/>
        <v>0</v>
      </c>
      <c r="U538" s="49">
        <f t="shared" si="334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t="shared" ca="1" si="330"/>
        <v>0</v>
      </c>
      <c r="P539" s="47">
        <f t="shared" ca="1" si="331"/>
        <v>0</v>
      </c>
      <c r="Q539" s="47">
        <v>0</v>
      </c>
      <c r="R539" s="47">
        <v>0</v>
      </c>
      <c r="S539" s="47">
        <v>0</v>
      </c>
      <c r="T539" s="47">
        <f t="shared" si="333"/>
        <v>0</v>
      </c>
      <c r="U539" s="47">
        <f t="shared" si="334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39">L541+L542</f>
        <v>0</v>
      </c>
      <c r="M540" s="47">
        <f t="shared" ca="1" si="339"/>
        <v>0</v>
      </c>
      <c r="N540" s="47">
        <f t="shared" ca="1" si="339"/>
        <v>0</v>
      </c>
      <c r="O540" s="47">
        <f t="shared" ca="1" si="330"/>
        <v>0</v>
      </c>
      <c r="P540" s="47">
        <f t="shared" ca="1" si="331"/>
        <v>0</v>
      </c>
      <c r="Q540" s="47">
        <f t="shared" ref="Q540:S540" si="340">Q541+Q542</f>
        <v>0</v>
      </c>
      <c r="R540" s="47">
        <f t="shared" si="340"/>
        <v>0</v>
      </c>
      <c r="S540" s="47">
        <f t="shared" si="340"/>
        <v>0</v>
      </c>
      <c r="T540" s="47">
        <f t="shared" si="333"/>
        <v>0</v>
      </c>
      <c r="U540" s="47">
        <f t="shared" si="334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0"/>
        <v>0</v>
      </c>
      <c r="P541" s="49">
        <f t="shared" si="331"/>
        <v>0</v>
      </c>
      <c r="Q541" s="49">
        <v>0</v>
      </c>
      <c r="R541" s="49">
        <v>0</v>
      </c>
      <c r="S541" s="49">
        <v>0</v>
      </c>
      <c r="T541" s="49">
        <f t="shared" si="333"/>
        <v>0</v>
      </c>
      <c r="U541" s="49">
        <f t="shared" si="334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t="shared" ca="1" si="330"/>
        <v>0</v>
      </c>
      <c r="P542" s="47">
        <f t="shared" ca="1" si="331"/>
        <v>0</v>
      </c>
      <c r="Q542" s="47">
        <v>0</v>
      </c>
      <c r="R542" s="47">
        <v>0</v>
      </c>
      <c r="S542" s="47">
        <v>0</v>
      </c>
      <c r="T542" s="47">
        <f t="shared" si="333"/>
        <v>0</v>
      </c>
      <c r="U542" s="47">
        <f t="shared" si="334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1">I566</f>
        <v>0</v>
      </c>
      <c r="J554" s="818">
        <f t="shared" si="341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2">L556+L557</f>
        <v>0</v>
      </c>
      <c r="M555" s="133">
        <f t="shared" ca="1" si="342"/>
        <v>0</v>
      </c>
      <c r="N555" s="133">
        <f t="shared" ca="1" si="342"/>
        <v>0</v>
      </c>
      <c r="O555" s="133">
        <f t="shared" ref="O555:O563" ca="1" si="343">IF(L555&gt;0,N555*100/L555,0)</f>
        <v>0</v>
      </c>
      <c r="P555" s="133">
        <f t="shared" ref="P555:P563" ca="1" si="344">IF(M555&gt;0,N555*100/M555,0)</f>
        <v>0</v>
      </c>
      <c r="Q555" s="133">
        <f t="shared" ref="Q555:S555" si="345">Q556+Q557</f>
        <v>0</v>
      </c>
      <c r="R555" s="133">
        <f t="shared" si="345"/>
        <v>0</v>
      </c>
      <c r="S555" s="133">
        <f t="shared" si="345"/>
        <v>0</v>
      </c>
      <c r="T555" s="133">
        <f t="shared" ref="T555:T563" si="346">IF(Q555&gt;0,S555*100/Q555,0)</f>
        <v>0</v>
      </c>
      <c r="U555" s="133">
        <f t="shared" ref="U555:U563" si="347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48">L559+L562</f>
        <v>0</v>
      </c>
      <c r="M556" s="49">
        <f t="shared" si="348"/>
        <v>0</v>
      </c>
      <c r="N556" s="49">
        <f t="shared" si="348"/>
        <v>0</v>
      </c>
      <c r="O556" s="49">
        <f t="shared" si="343"/>
        <v>0</v>
      </c>
      <c r="P556" s="49">
        <f t="shared" si="344"/>
        <v>0</v>
      </c>
      <c r="Q556" s="49">
        <f t="shared" ref="Q556:S557" si="349">Q559+Q562</f>
        <v>0</v>
      </c>
      <c r="R556" s="49">
        <f t="shared" si="349"/>
        <v>0</v>
      </c>
      <c r="S556" s="49">
        <f t="shared" si="349"/>
        <v>0</v>
      </c>
      <c r="T556" s="49">
        <f t="shared" si="346"/>
        <v>0</v>
      </c>
      <c r="U556" s="49">
        <f t="shared" si="347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48"/>
        <v>0</v>
      </c>
      <c r="M557" s="47">
        <f t="shared" ca="1" si="348"/>
        <v>0</v>
      </c>
      <c r="N557" s="47">
        <f t="shared" ca="1" si="348"/>
        <v>0</v>
      </c>
      <c r="O557" s="47">
        <f t="shared" ca="1" si="343"/>
        <v>0</v>
      </c>
      <c r="P557" s="47">
        <f t="shared" ca="1" si="344"/>
        <v>0</v>
      </c>
      <c r="Q557" s="47">
        <f t="shared" si="349"/>
        <v>0</v>
      </c>
      <c r="R557" s="47">
        <f t="shared" si="349"/>
        <v>0</v>
      </c>
      <c r="S557" s="47">
        <f t="shared" si="349"/>
        <v>0</v>
      </c>
      <c r="T557" s="47">
        <f t="shared" si="346"/>
        <v>0</v>
      </c>
      <c r="U557" s="47">
        <f t="shared" si="347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0">L559+L560</f>
        <v>0</v>
      </c>
      <c r="M558" s="47">
        <f t="shared" ca="1" si="350"/>
        <v>0</v>
      </c>
      <c r="N558" s="47">
        <f t="shared" ca="1" si="350"/>
        <v>0</v>
      </c>
      <c r="O558" s="47">
        <f t="shared" ca="1" si="343"/>
        <v>0</v>
      </c>
      <c r="P558" s="47">
        <f t="shared" ca="1" si="344"/>
        <v>0</v>
      </c>
      <c r="Q558" s="47">
        <f t="shared" ref="Q558:S558" si="351">Q559+Q560</f>
        <v>0</v>
      </c>
      <c r="R558" s="47">
        <f t="shared" si="351"/>
        <v>0</v>
      </c>
      <c r="S558" s="47">
        <f t="shared" si="351"/>
        <v>0</v>
      </c>
      <c r="T558" s="47">
        <f t="shared" si="346"/>
        <v>0</v>
      </c>
      <c r="U558" s="47">
        <f t="shared" si="347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3"/>
        <v>0</v>
      </c>
      <c r="P559" s="49">
        <f t="shared" si="344"/>
        <v>0</v>
      </c>
      <c r="Q559" s="49">
        <v>0</v>
      </c>
      <c r="R559" s="49">
        <v>0</v>
      </c>
      <c r="S559" s="49">
        <v>0</v>
      </c>
      <c r="T559" s="49">
        <f t="shared" si="346"/>
        <v>0</v>
      </c>
      <c r="U559" s="49">
        <f t="shared" si="347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t="shared" ca="1" si="343"/>
        <v>0</v>
      </c>
      <c r="P560" s="47">
        <f t="shared" ca="1" si="344"/>
        <v>0</v>
      </c>
      <c r="Q560" s="47">
        <v>0</v>
      </c>
      <c r="R560" s="47">
        <v>0</v>
      </c>
      <c r="S560" s="47">
        <v>0</v>
      </c>
      <c r="T560" s="47">
        <f t="shared" si="346"/>
        <v>0</v>
      </c>
      <c r="U560" s="47">
        <f t="shared" si="347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2">L562+L563</f>
        <v>0</v>
      </c>
      <c r="M561" s="47">
        <f t="shared" ca="1" si="352"/>
        <v>0</v>
      </c>
      <c r="N561" s="47">
        <f t="shared" ca="1" si="352"/>
        <v>0</v>
      </c>
      <c r="O561" s="47">
        <f t="shared" ca="1" si="343"/>
        <v>0</v>
      </c>
      <c r="P561" s="47">
        <f t="shared" ca="1" si="344"/>
        <v>0</v>
      </c>
      <c r="Q561" s="47">
        <f t="shared" ref="Q561:S561" si="353">Q562+Q563</f>
        <v>0</v>
      </c>
      <c r="R561" s="47">
        <f t="shared" si="353"/>
        <v>0</v>
      </c>
      <c r="S561" s="47">
        <f t="shared" si="353"/>
        <v>0</v>
      </c>
      <c r="T561" s="47">
        <f t="shared" si="346"/>
        <v>0</v>
      </c>
      <c r="U561" s="47">
        <f t="shared" si="347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3"/>
        <v>0</v>
      </c>
      <c r="P562" s="49">
        <f t="shared" si="344"/>
        <v>0</v>
      </c>
      <c r="Q562" s="49">
        <v>0</v>
      </c>
      <c r="R562" s="49">
        <v>0</v>
      </c>
      <c r="S562" s="49">
        <v>0</v>
      </c>
      <c r="T562" s="49">
        <f t="shared" si="346"/>
        <v>0</v>
      </c>
      <c r="U562" s="49">
        <f t="shared" si="347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t="shared" ca="1" si="343"/>
        <v>0</v>
      </c>
      <c r="P563" s="47">
        <f t="shared" ca="1" si="344"/>
        <v>0</v>
      </c>
      <c r="Q563" s="47">
        <v>0</v>
      </c>
      <c r="R563" s="47">
        <v>0</v>
      </c>
      <c r="S563" s="47">
        <v>0</v>
      </c>
      <c r="T563" s="47">
        <f t="shared" si="346"/>
        <v>0</v>
      </c>
      <c r="U563" s="47">
        <f t="shared" si="347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4">I587</f>
        <v>0</v>
      </c>
      <c r="J575" s="818">
        <f t="shared" si="354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5">L577+L578</f>
        <v>0</v>
      </c>
      <c r="M576" s="133">
        <f t="shared" ca="1" si="355"/>
        <v>0</v>
      </c>
      <c r="N576" s="133">
        <f t="shared" ca="1" si="355"/>
        <v>0</v>
      </c>
      <c r="O576" s="133">
        <f t="shared" ref="O576:O584" ca="1" si="356">IF(L576&gt;0,N576*100/L576,0)</f>
        <v>0</v>
      </c>
      <c r="P576" s="133">
        <f t="shared" ref="P576:P584" ca="1" si="357">IF(M576&gt;0,N576*100/M576,0)</f>
        <v>0</v>
      </c>
      <c r="Q576" s="133">
        <f t="shared" ref="Q576:S576" si="358">Q577+Q578</f>
        <v>0</v>
      </c>
      <c r="R576" s="133">
        <f t="shared" si="358"/>
        <v>0</v>
      </c>
      <c r="S576" s="133">
        <f t="shared" si="358"/>
        <v>0</v>
      </c>
      <c r="T576" s="133">
        <f t="shared" ref="T576:T584" si="359">IF(Q576&gt;0,S576*100/Q576,0)</f>
        <v>0</v>
      </c>
      <c r="U576" s="133">
        <f t="shared" ref="U576:U584" si="360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1">L580+L583</f>
        <v>0</v>
      </c>
      <c r="M577" s="49">
        <f t="shared" si="361"/>
        <v>0</v>
      </c>
      <c r="N577" s="49">
        <f t="shared" si="361"/>
        <v>0</v>
      </c>
      <c r="O577" s="49">
        <f t="shared" si="356"/>
        <v>0</v>
      </c>
      <c r="P577" s="49">
        <f t="shared" si="357"/>
        <v>0</v>
      </c>
      <c r="Q577" s="49">
        <f t="shared" ref="Q577:S578" si="362">Q580+Q583</f>
        <v>0</v>
      </c>
      <c r="R577" s="49">
        <f t="shared" si="362"/>
        <v>0</v>
      </c>
      <c r="S577" s="49">
        <f t="shared" si="362"/>
        <v>0</v>
      </c>
      <c r="T577" s="49">
        <f t="shared" si="359"/>
        <v>0</v>
      </c>
      <c r="U577" s="49">
        <f t="shared" si="360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1"/>
        <v>0</v>
      </c>
      <c r="M578" s="47">
        <f t="shared" ca="1" si="361"/>
        <v>0</v>
      </c>
      <c r="N578" s="47">
        <f t="shared" ca="1" si="361"/>
        <v>0</v>
      </c>
      <c r="O578" s="47">
        <f t="shared" ca="1" si="356"/>
        <v>0</v>
      </c>
      <c r="P578" s="47">
        <f t="shared" ca="1" si="357"/>
        <v>0</v>
      </c>
      <c r="Q578" s="47">
        <f t="shared" si="362"/>
        <v>0</v>
      </c>
      <c r="R578" s="47">
        <f t="shared" si="362"/>
        <v>0</v>
      </c>
      <c r="S578" s="47">
        <f t="shared" si="362"/>
        <v>0</v>
      </c>
      <c r="T578" s="47">
        <f t="shared" si="359"/>
        <v>0</v>
      </c>
      <c r="U578" s="47">
        <f t="shared" si="360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3">L580+L581</f>
        <v>0</v>
      </c>
      <c r="M579" s="47">
        <f t="shared" ca="1" si="363"/>
        <v>0</v>
      </c>
      <c r="N579" s="47">
        <f t="shared" ca="1" si="363"/>
        <v>0</v>
      </c>
      <c r="O579" s="47">
        <f t="shared" ca="1" si="356"/>
        <v>0</v>
      </c>
      <c r="P579" s="47">
        <f t="shared" ca="1" si="357"/>
        <v>0</v>
      </c>
      <c r="Q579" s="47">
        <f t="shared" ref="Q579:S579" si="364">Q580+Q581</f>
        <v>0</v>
      </c>
      <c r="R579" s="47">
        <f t="shared" si="364"/>
        <v>0</v>
      </c>
      <c r="S579" s="47">
        <f t="shared" si="364"/>
        <v>0</v>
      </c>
      <c r="T579" s="47">
        <f t="shared" si="359"/>
        <v>0</v>
      </c>
      <c r="U579" s="47">
        <f t="shared" si="360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6"/>
        <v>0</v>
      </c>
      <c r="P580" s="49">
        <f t="shared" si="357"/>
        <v>0</v>
      </c>
      <c r="Q580" s="49">
        <v>0</v>
      </c>
      <c r="R580" s="49">
        <v>0</v>
      </c>
      <c r="S580" s="49">
        <v>0</v>
      </c>
      <c r="T580" s="49">
        <f t="shared" si="359"/>
        <v>0</v>
      </c>
      <c r="U580" s="49">
        <f t="shared" si="360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t="shared" ca="1" si="356"/>
        <v>0</v>
      </c>
      <c r="P581" s="47">
        <f t="shared" ca="1" si="357"/>
        <v>0</v>
      </c>
      <c r="Q581" s="47">
        <v>0</v>
      </c>
      <c r="R581" s="47">
        <v>0</v>
      </c>
      <c r="S581" s="47">
        <v>0</v>
      </c>
      <c r="T581" s="47">
        <f t="shared" si="359"/>
        <v>0</v>
      </c>
      <c r="U581" s="47">
        <f t="shared" si="360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5">L583+L584</f>
        <v>0</v>
      </c>
      <c r="M582" s="47">
        <f t="shared" ca="1" si="365"/>
        <v>0</v>
      </c>
      <c r="N582" s="47">
        <f t="shared" ca="1" si="365"/>
        <v>0</v>
      </c>
      <c r="O582" s="47">
        <f t="shared" ca="1" si="356"/>
        <v>0</v>
      </c>
      <c r="P582" s="47">
        <f t="shared" ca="1" si="357"/>
        <v>0</v>
      </c>
      <c r="Q582" s="47">
        <f t="shared" ref="Q582:S582" si="366">Q583+Q584</f>
        <v>0</v>
      </c>
      <c r="R582" s="47">
        <f t="shared" si="366"/>
        <v>0</v>
      </c>
      <c r="S582" s="47">
        <f t="shared" si="366"/>
        <v>0</v>
      </c>
      <c r="T582" s="47">
        <f t="shared" si="359"/>
        <v>0</v>
      </c>
      <c r="U582" s="47">
        <f t="shared" si="360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6"/>
        <v>0</v>
      </c>
      <c r="P583" s="49">
        <f t="shared" si="357"/>
        <v>0</v>
      </c>
      <c r="Q583" s="49">
        <v>0</v>
      </c>
      <c r="R583" s="49">
        <v>0</v>
      </c>
      <c r="S583" s="49">
        <v>0</v>
      </c>
      <c r="T583" s="49">
        <f t="shared" si="359"/>
        <v>0</v>
      </c>
      <c r="U583" s="49">
        <f t="shared" si="360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t="shared" ca="1" si="356"/>
        <v>0</v>
      </c>
      <c r="P584" s="47">
        <f t="shared" ca="1" si="357"/>
        <v>0</v>
      </c>
      <c r="Q584" s="47">
        <v>0</v>
      </c>
      <c r="R584" s="47">
        <v>0</v>
      </c>
      <c r="S584" s="47">
        <v>0</v>
      </c>
      <c r="T584" s="47">
        <f t="shared" si="359"/>
        <v>0</v>
      </c>
      <c r="U584" s="47">
        <f t="shared" si="360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67">L600+L601</f>
        <v>0</v>
      </c>
      <c r="M599" s="133">
        <f t="shared" ca="1" si="367"/>
        <v>0</v>
      </c>
      <c r="N599" s="133">
        <f t="shared" ca="1" si="367"/>
        <v>0</v>
      </c>
      <c r="O599" s="133">
        <f t="shared" ref="O599:O607" ca="1" si="368">IF(L599&gt;0,N599*100/L599,0)</f>
        <v>0</v>
      </c>
      <c r="P599" s="133">
        <f t="shared" ref="P599:P607" ca="1" si="369">IF(M599&gt;0,N599*100/M599,0)</f>
        <v>0</v>
      </c>
      <c r="Q599" s="133">
        <f t="shared" ref="Q599:S599" ca="1" si="370">Q600+Q601</f>
        <v>0</v>
      </c>
      <c r="R599" s="133">
        <f t="shared" ca="1" si="370"/>
        <v>0</v>
      </c>
      <c r="S599" s="133">
        <f t="shared" ca="1" si="370"/>
        <v>0</v>
      </c>
      <c r="T599" s="133">
        <f t="shared" ref="T599:T607" ca="1" si="371">IF(Q599&gt;0,S599*100/Q599,0)</f>
        <v>0</v>
      </c>
      <c r="U599" s="133">
        <f t="shared" ref="U599:U607" ca="1" si="372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3">L603+L606</f>
        <v>0</v>
      </c>
      <c r="M600" s="49">
        <f t="shared" si="373"/>
        <v>0</v>
      </c>
      <c r="N600" s="49">
        <f t="shared" si="373"/>
        <v>0</v>
      </c>
      <c r="O600" s="49">
        <f t="shared" si="368"/>
        <v>0</v>
      </c>
      <c r="P600" s="49">
        <f t="shared" si="369"/>
        <v>0</v>
      </c>
      <c r="Q600" s="49">
        <f t="shared" ref="Q600:S601" si="374">Q603+Q606</f>
        <v>0</v>
      </c>
      <c r="R600" s="49">
        <f t="shared" si="374"/>
        <v>0</v>
      </c>
      <c r="S600" s="49">
        <f t="shared" si="374"/>
        <v>0</v>
      </c>
      <c r="T600" s="49">
        <f t="shared" si="371"/>
        <v>0</v>
      </c>
      <c r="U600" s="49">
        <f t="shared" si="372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3"/>
        <v>0</v>
      </c>
      <c r="M601" s="47">
        <f t="shared" ca="1" si="373"/>
        <v>0</v>
      </c>
      <c r="N601" s="47">
        <f t="shared" ca="1" si="373"/>
        <v>0</v>
      </c>
      <c r="O601" s="47">
        <f t="shared" ca="1" si="368"/>
        <v>0</v>
      </c>
      <c r="P601" s="47">
        <f t="shared" ca="1" si="369"/>
        <v>0</v>
      </c>
      <c r="Q601" s="47">
        <f t="shared" ca="1" si="374"/>
        <v>0</v>
      </c>
      <c r="R601" s="47">
        <f t="shared" ca="1" si="374"/>
        <v>0</v>
      </c>
      <c r="S601" s="47">
        <f t="shared" ca="1" si="374"/>
        <v>0</v>
      </c>
      <c r="T601" s="47">
        <f t="shared" ca="1" si="371"/>
        <v>0</v>
      </c>
      <c r="U601" s="47">
        <f t="shared" ca="1" si="372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5">L603+L604</f>
        <v>0</v>
      </c>
      <c r="M602" s="47">
        <f t="shared" ca="1" si="375"/>
        <v>0</v>
      </c>
      <c r="N602" s="47">
        <f t="shared" ca="1" si="375"/>
        <v>0</v>
      </c>
      <c r="O602" s="47">
        <f t="shared" ca="1" si="368"/>
        <v>0</v>
      </c>
      <c r="P602" s="47">
        <f t="shared" ca="1" si="369"/>
        <v>0</v>
      </c>
      <c r="Q602" s="47">
        <f t="shared" ref="Q602:S602" ca="1" si="376">Q603+Q604</f>
        <v>0</v>
      </c>
      <c r="R602" s="47">
        <f t="shared" ca="1" si="376"/>
        <v>0</v>
      </c>
      <c r="S602" s="47">
        <f t="shared" ca="1" si="376"/>
        <v>0</v>
      </c>
      <c r="T602" s="47">
        <f t="shared" ca="1" si="371"/>
        <v>0</v>
      </c>
      <c r="U602" s="47">
        <f t="shared" ca="1" si="372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68"/>
        <v>0</v>
      </c>
      <c r="P603" s="49">
        <f t="shared" si="369"/>
        <v>0</v>
      </c>
      <c r="Q603" s="49">
        <v>0</v>
      </c>
      <c r="R603" s="49">
        <v>0</v>
      </c>
      <c r="S603" s="49">
        <v>0</v>
      </c>
      <c r="T603" s="49">
        <f t="shared" si="371"/>
        <v>0</v>
      </c>
      <c r="U603" s="49">
        <f t="shared" si="372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t="shared" ca="1" si="368"/>
        <v>0</v>
      </c>
      <c r="P604" s="47">
        <f t="shared" ca="1" si="369"/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t="shared" ca="1" si="371"/>
        <v>0</v>
      </c>
      <c r="U604" s="47">
        <f t="shared" ca="1" si="372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77">L606+L607</f>
        <v>0</v>
      </c>
      <c r="M605" s="47">
        <f t="shared" ca="1" si="377"/>
        <v>0</v>
      </c>
      <c r="N605" s="47">
        <f t="shared" ca="1" si="377"/>
        <v>0</v>
      </c>
      <c r="O605" s="47">
        <f t="shared" ca="1" si="368"/>
        <v>0</v>
      </c>
      <c r="P605" s="47">
        <f t="shared" ca="1" si="369"/>
        <v>0</v>
      </c>
      <c r="Q605" s="47">
        <f t="shared" ref="Q605:S605" ca="1" si="378">Q606+Q607</f>
        <v>0</v>
      </c>
      <c r="R605" s="47">
        <f t="shared" ca="1" si="378"/>
        <v>0</v>
      </c>
      <c r="S605" s="47">
        <f t="shared" ca="1" si="378"/>
        <v>0</v>
      </c>
      <c r="T605" s="47">
        <f t="shared" ca="1" si="371"/>
        <v>0</v>
      </c>
      <c r="U605" s="47">
        <f t="shared" ca="1" si="372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68"/>
        <v>0</v>
      </c>
      <c r="P606" s="49">
        <f t="shared" si="369"/>
        <v>0</v>
      </c>
      <c r="Q606" s="49">
        <v>0</v>
      </c>
      <c r="R606" s="49">
        <v>0</v>
      </c>
      <c r="S606" s="49">
        <v>0</v>
      </c>
      <c r="T606" s="49">
        <f t="shared" si="371"/>
        <v>0</v>
      </c>
      <c r="U606" s="49">
        <f t="shared" si="372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t="shared" ca="1" si="368"/>
        <v>0</v>
      </c>
      <c r="P607" s="47">
        <f t="shared" ca="1" si="369"/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t="shared" ca="1" si="371"/>
        <v>0</v>
      </c>
      <c r="U607" s="47">
        <f t="shared" ca="1" si="372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79">I626</f>
        <v>50</v>
      </c>
      <c r="J615" s="488">
        <f t="shared" si="379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0">L617+L618</f>
        <v>0</v>
      </c>
      <c r="M616" s="133">
        <f t="shared" si="380"/>
        <v>0</v>
      </c>
      <c r="N616" s="133">
        <f t="shared" si="380"/>
        <v>0</v>
      </c>
      <c r="O616" s="133">
        <f t="shared" ref="O616:O624" si="381">IF(L616&gt;0,N616*100/L616,0)</f>
        <v>0</v>
      </c>
      <c r="P616" s="133">
        <f t="shared" ref="P616:P624" si="382">IF(M616&gt;0,N616*100/M616,0)</f>
        <v>0</v>
      </c>
      <c r="Q616" s="133">
        <f t="shared" ref="Q616:S616" ca="1" si="383">Q617+Q618</f>
        <v>7350</v>
      </c>
      <c r="R616" s="133">
        <f t="shared" ca="1" si="383"/>
        <v>7350</v>
      </c>
      <c r="S616" s="133">
        <f t="shared" ca="1" si="383"/>
        <v>1600</v>
      </c>
      <c r="T616" s="133">
        <f t="shared" ref="T616:T624" ca="1" si="384">IF(Q616&gt;0,S616*100/Q616,0)</f>
        <v>21.768707482993197</v>
      </c>
      <c r="U616" s="133">
        <f t="shared" ref="U616:U624" ca="1" si="385">IF(R616&gt;0,S616*100/R616,0)</f>
        <v>21.768707482993197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6">L620+L623</f>
        <v>0</v>
      </c>
      <c r="M617" s="49">
        <f t="shared" si="386"/>
        <v>0</v>
      </c>
      <c r="N617" s="49">
        <f t="shared" si="386"/>
        <v>0</v>
      </c>
      <c r="O617" s="49">
        <f t="shared" si="381"/>
        <v>0</v>
      </c>
      <c r="P617" s="49">
        <f t="shared" si="382"/>
        <v>0</v>
      </c>
      <c r="Q617" s="49">
        <f t="shared" ref="Q617:S618" si="387">Q620+Q623</f>
        <v>0</v>
      </c>
      <c r="R617" s="49">
        <f t="shared" si="387"/>
        <v>0</v>
      </c>
      <c r="S617" s="49">
        <f t="shared" si="387"/>
        <v>0</v>
      </c>
      <c r="T617" s="49">
        <f t="shared" si="384"/>
        <v>0</v>
      </c>
      <c r="U617" s="49">
        <f t="shared" si="385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6"/>
        <v>0</v>
      </c>
      <c r="M618" s="47">
        <f t="shared" si="386"/>
        <v>0</v>
      </c>
      <c r="N618" s="47">
        <f t="shared" si="386"/>
        <v>0</v>
      </c>
      <c r="O618" s="47">
        <f t="shared" si="381"/>
        <v>0</v>
      </c>
      <c r="P618" s="47">
        <f t="shared" si="382"/>
        <v>0</v>
      </c>
      <c r="Q618" s="47">
        <f t="shared" ca="1" si="387"/>
        <v>7350</v>
      </c>
      <c r="R618" s="47">
        <f t="shared" ca="1" si="387"/>
        <v>7350</v>
      </c>
      <c r="S618" s="47">
        <f t="shared" ca="1" si="387"/>
        <v>1600</v>
      </c>
      <c r="T618" s="47">
        <f t="shared" ca="1" si="384"/>
        <v>21.768707482993197</v>
      </c>
      <c r="U618" s="47">
        <f t="shared" ca="1" si="385"/>
        <v>21.768707482993197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88">L620+L621</f>
        <v>0</v>
      </c>
      <c r="M619" s="47">
        <f t="shared" si="388"/>
        <v>0</v>
      </c>
      <c r="N619" s="47">
        <f t="shared" si="388"/>
        <v>0</v>
      </c>
      <c r="O619" s="47">
        <f t="shared" si="381"/>
        <v>0</v>
      </c>
      <c r="P619" s="47">
        <f t="shared" si="382"/>
        <v>0</v>
      </c>
      <c r="Q619" s="47">
        <f t="shared" ref="Q619:S619" ca="1" si="389">Q620+Q621</f>
        <v>7350</v>
      </c>
      <c r="R619" s="47">
        <f t="shared" ca="1" si="389"/>
        <v>7350</v>
      </c>
      <c r="S619" s="47">
        <f t="shared" ca="1" si="389"/>
        <v>1600</v>
      </c>
      <c r="T619" s="47">
        <f t="shared" ca="1" si="384"/>
        <v>21.768707482993197</v>
      </c>
      <c r="U619" s="47">
        <f t="shared" ca="1" si="385"/>
        <v>21.768707482993197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1"/>
        <v>0</v>
      </c>
      <c r="P620" s="49">
        <f t="shared" si="382"/>
        <v>0</v>
      </c>
      <c r="Q620" s="49">
        <v>0</v>
      </c>
      <c r="R620" s="49">
        <v>0</v>
      </c>
      <c r="S620" s="49">
        <v>0</v>
      </c>
      <c r="T620" s="49">
        <f t="shared" si="384"/>
        <v>0</v>
      </c>
      <c r="U620" s="49">
        <f t="shared" si="385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1"/>
        <v>0</v>
      </c>
      <c r="P621" s="47">
        <f t="shared" si="382"/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t="shared" ca="1" si="384"/>
        <v>21.768707482993197</v>
      </c>
      <c r="U621" s="47">
        <f t="shared" ca="1" si="385"/>
        <v>21.768707482993197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0">L623+L624</f>
        <v>0</v>
      </c>
      <c r="M622" s="47">
        <f t="shared" si="390"/>
        <v>0</v>
      </c>
      <c r="N622" s="47">
        <f t="shared" si="390"/>
        <v>0</v>
      </c>
      <c r="O622" s="47">
        <f t="shared" si="381"/>
        <v>0</v>
      </c>
      <c r="P622" s="47">
        <f t="shared" si="382"/>
        <v>0</v>
      </c>
      <c r="Q622" s="47">
        <f t="shared" ref="Q622:S622" si="391">Q623+Q624</f>
        <v>0</v>
      </c>
      <c r="R622" s="47">
        <f t="shared" si="391"/>
        <v>0</v>
      </c>
      <c r="S622" s="47">
        <f t="shared" si="391"/>
        <v>0</v>
      </c>
      <c r="T622" s="47">
        <f t="shared" si="384"/>
        <v>0</v>
      </c>
      <c r="U622" s="47">
        <f t="shared" si="385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1"/>
        <v>0</v>
      </c>
      <c r="P623" s="49">
        <f t="shared" si="382"/>
        <v>0</v>
      </c>
      <c r="Q623" s="49">
        <v>0</v>
      </c>
      <c r="R623" s="49">
        <v>0</v>
      </c>
      <c r="S623" s="49">
        <v>0</v>
      </c>
      <c r="T623" s="49">
        <f t="shared" si="384"/>
        <v>0</v>
      </c>
      <c r="U623" s="49">
        <f t="shared" si="385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1"/>
        <v>0</v>
      </c>
      <c r="P624" s="47">
        <f t="shared" si="382"/>
        <v>0</v>
      </c>
      <c r="Q624" s="47">
        <v>0</v>
      </c>
      <c r="R624" s="47">
        <v>0</v>
      </c>
      <c r="S624" s="47">
        <v>0</v>
      </c>
      <c r="T624" s="47">
        <f t="shared" si="384"/>
        <v>0</v>
      </c>
      <c r="U624" s="47">
        <f t="shared" si="385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IFERROR(__xludf.DUMMYFUNCTION("IMPORTRANGE(""https://docs.google.com/spreadsheets/d/1eHaY18a8A9IcSdp1K8H6x8fbOy06t2VsZHhMHf-1x7Y/edit?usp=sharing"",""แผน!ID77"")"),50)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IFERROR(__xludf.DUMMYFUNCTION("IMPORTRANGE(""https://docs.google.com/spreadsheets/d/1eHaY18a8A9IcSdp1K8H6x8fbOy06t2VsZHhMHf-1x7Y/edit?usp=sharing"",""แผน!IC77"")"),1)</f>
        <v>1</v>
      </c>
      <c r="J627" s="169">
        <v>1</v>
      </c>
      <c r="K627" s="47">
        <f t="shared" ref="K627:K628" ca="1" si="392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IFERROR(__xludf.DUMMYFUNCTION("IMPORTRANGE(""https://docs.google.com/spreadsheets/d/1eHaY18a8A9IcSdp1K8H6x8fbOy06t2VsZHhMHf-1x7Y/edit?usp=sharing"",""แผน!IC77"")"),1)</f>
        <v>1</v>
      </c>
      <c r="J628" s="169">
        <v>1</v>
      </c>
      <c r="K628" s="47">
        <f t="shared" ca="1" si="392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3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3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3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IFERROR(__xludf.DUMMYFUNCTION("IMPORTRANGE(""https://docs.google.com/spreadsheets/d/1eHaY18a8A9IcSdp1K8H6x8fbOy06t2VsZHhMHf-1x7Y/edit?usp=sharing"",""แผน!IE77"")"),0)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4">L643+L644</f>
        <v>0</v>
      </c>
      <c r="M642" s="133">
        <f t="shared" si="394"/>
        <v>0</v>
      </c>
      <c r="N642" s="133">
        <f t="shared" si="394"/>
        <v>0</v>
      </c>
      <c r="O642" s="133">
        <f t="shared" ref="O642:O650" si="395">IF(L642&gt;0,N642*100/L642,0)</f>
        <v>0</v>
      </c>
      <c r="P642" s="133">
        <f t="shared" ref="P642:P650" si="396">IF(M642&gt;0,N642*100/M642,0)</f>
        <v>0</v>
      </c>
      <c r="Q642" s="133">
        <f t="shared" ref="Q642:S642" ca="1" si="397">Q643+Q644</f>
        <v>0</v>
      </c>
      <c r="R642" s="133">
        <f t="shared" ca="1" si="397"/>
        <v>0</v>
      </c>
      <c r="S642" s="133">
        <f t="shared" ca="1" si="397"/>
        <v>0</v>
      </c>
      <c r="T642" s="133">
        <f t="shared" ref="T642:T650" ca="1" si="398">IF(Q642&gt;0,S642*100/Q642,0)</f>
        <v>0</v>
      </c>
      <c r="U642" s="133">
        <f t="shared" ref="U642:U650" ca="1" si="399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0">L646+L649</f>
        <v>0</v>
      </c>
      <c r="M643" s="49">
        <f t="shared" si="400"/>
        <v>0</v>
      </c>
      <c r="N643" s="49">
        <f t="shared" si="400"/>
        <v>0</v>
      </c>
      <c r="O643" s="49">
        <f t="shared" si="395"/>
        <v>0</v>
      </c>
      <c r="P643" s="49">
        <f t="shared" si="396"/>
        <v>0</v>
      </c>
      <c r="Q643" s="49">
        <f t="shared" ref="Q643:S644" si="401">Q646+Q649</f>
        <v>0</v>
      </c>
      <c r="R643" s="49">
        <f t="shared" si="401"/>
        <v>0</v>
      </c>
      <c r="S643" s="49">
        <f t="shared" si="401"/>
        <v>0</v>
      </c>
      <c r="T643" s="49">
        <f t="shared" si="398"/>
        <v>0</v>
      </c>
      <c r="U643" s="49">
        <f t="shared" si="399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0"/>
        <v>0</v>
      </c>
      <c r="M644" s="47">
        <f t="shared" si="400"/>
        <v>0</v>
      </c>
      <c r="N644" s="47">
        <f t="shared" si="400"/>
        <v>0</v>
      </c>
      <c r="O644" s="47">
        <f t="shared" si="395"/>
        <v>0</v>
      </c>
      <c r="P644" s="47">
        <f t="shared" si="396"/>
        <v>0</v>
      </c>
      <c r="Q644" s="47">
        <f t="shared" ca="1" si="401"/>
        <v>0</v>
      </c>
      <c r="R644" s="47">
        <f t="shared" ca="1" si="401"/>
        <v>0</v>
      </c>
      <c r="S644" s="47">
        <f t="shared" ca="1" si="401"/>
        <v>0</v>
      </c>
      <c r="T644" s="47">
        <f t="shared" ca="1" si="398"/>
        <v>0</v>
      </c>
      <c r="U644" s="47">
        <f t="shared" ca="1" si="399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2">L646+L647</f>
        <v>0</v>
      </c>
      <c r="M645" s="47">
        <f t="shared" si="402"/>
        <v>0</v>
      </c>
      <c r="N645" s="47">
        <f t="shared" si="402"/>
        <v>0</v>
      </c>
      <c r="O645" s="47">
        <f t="shared" si="395"/>
        <v>0</v>
      </c>
      <c r="P645" s="47">
        <f t="shared" si="396"/>
        <v>0</v>
      </c>
      <c r="Q645" s="47">
        <f t="shared" ref="Q645:S645" ca="1" si="403">Q646+Q647</f>
        <v>0</v>
      </c>
      <c r="R645" s="47">
        <f t="shared" ca="1" si="403"/>
        <v>0</v>
      </c>
      <c r="S645" s="47">
        <f t="shared" ca="1" si="403"/>
        <v>0</v>
      </c>
      <c r="T645" s="47">
        <f t="shared" ca="1" si="398"/>
        <v>0</v>
      </c>
      <c r="U645" s="47">
        <f t="shared" ca="1" si="399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5"/>
        <v>0</v>
      </c>
      <c r="P646" s="49">
        <f t="shared" si="396"/>
        <v>0</v>
      </c>
      <c r="Q646" s="49">
        <v>0</v>
      </c>
      <c r="R646" s="49">
        <v>0</v>
      </c>
      <c r="S646" s="49">
        <v>0</v>
      </c>
      <c r="T646" s="49">
        <f t="shared" si="398"/>
        <v>0</v>
      </c>
      <c r="U646" s="49">
        <f t="shared" si="399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5"/>
        <v>0</v>
      </c>
      <c r="P647" s="47">
        <f t="shared" si="396"/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t="shared" ca="1" si="398"/>
        <v>0</v>
      </c>
      <c r="U647" s="47">
        <f t="shared" ca="1" si="399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4">L649+L650</f>
        <v>0</v>
      </c>
      <c r="M648" s="47">
        <f t="shared" si="404"/>
        <v>0</v>
      </c>
      <c r="N648" s="47">
        <f t="shared" si="404"/>
        <v>0</v>
      </c>
      <c r="O648" s="47">
        <f t="shared" si="395"/>
        <v>0</v>
      </c>
      <c r="P648" s="47">
        <f t="shared" si="396"/>
        <v>0</v>
      </c>
      <c r="Q648" s="47">
        <f t="shared" ref="Q648:S648" si="405">Q649+Q650</f>
        <v>0</v>
      </c>
      <c r="R648" s="47">
        <f t="shared" si="405"/>
        <v>0</v>
      </c>
      <c r="S648" s="47">
        <f t="shared" si="405"/>
        <v>0</v>
      </c>
      <c r="T648" s="47">
        <f t="shared" si="398"/>
        <v>0</v>
      </c>
      <c r="U648" s="47">
        <f t="shared" si="399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5"/>
        <v>0</v>
      </c>
      <c r="P649" s="49">
        <f t="shared" si="396"/>
        <v>0</v>
      </c>
      <c r="Q649" s="49">
        <v>0</v>
      </c>
      <c r="R649" s="49">
        <v>0</v>
      </c>
      <c r="S649" s="49">
        <v>0</v>
      </c>
      <c r="T649" s="49">
        <f t="shared" si="398"/>
        <v>0</v>
      </c>
      <c r="U649" s="49">
        <f t="shared" si="399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5"/>
        <v>0</v>
      </c>
      <c r="P650" s="47">
        <f t="shared" si="396"/>
        <v>0</v>
      </c>
      <c r="Q650" s="47">
        <v>0</v>
      </c>
      <c r="R650" s="47">
        <v>0</v>
      </c>
      <c r="S650" s="47">
        <v>0</v>
      </c>
      <c r="T650" s="47">
        <f t="shared" si="398"/>
        <v>0</v>
      </c>
      <c r="U650" s="47">
        <f t="shared" si="399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IFERROR(__xludf.DUMMYFUNCTION("IMPORTRANGE(""https://docs.google.com/spreadsheets/d/1eHaY18a8A9IcSdp1K8H6x8fbOy06t2VsZHhMHf-1x7Y/edit?usp=sharing"",""แผน!IF77"")"),0)</f>
        <v>0</v>
      </c>
      <c r="J652" s="37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t="shared" ref="K652:K654" ca="1" si="406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IFERROR(__xludf.DUMMYFUNCTION("IMPORTRANGE(""https://docs.google.com/spreadsheets/d/1eHaY18a8A9IcSdp1K8H6x8fbOy06t2VsZHhMHf-1x7Y/edit?usp=sharing"",""แผน!IG77"")"),0)</f>
        <v>0</v>
      </c>
      <c r="J653" s="37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t="shared" ca="1" si="406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IFERROR(__xludf.DUMMYFUNCTION("IMPORTRANGE(""https://docs.google.com/spreadsheets/d/1eHaY18a8A9IcSdp1K8H6x8fbOy06t2VsZHhMHf-1x7Y/edit?usp=sharing"",""แผน!IH77"")"),0)</f>
        <v>0</v>
      </c>
      <c r="J654" s="371">
        <f>J657+J660</f>
        <v>0</v>
      </c>
      <c r="K654" s="133">
        <f t="shared" ca="1" si="406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IFERROR(__xludf.DUMMYFUNCTION("IMPORTRANGE(""https://docs.google.com/spreadsheets/d/1eHaY18a8A9IcSdp1K8H6x8fbOy06t2VsZHhMHf-1x7Y/edit?usp=sharing"",""แผน!II77"")"),0)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IFERROR(__xludf.DUMMYFUNCTION("IMPORTRANGE(""https://docs.google.com/spreadsheets/d/1eHaY18a8A9IcSdp1K8H6x8fbOy06t2VsZHhMHf-1x7Y/edit?usp=sharing"",""แผน!IJ77"")"),0)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IFERROR(__xludf.DUMMYFUNCTION("IMPORTRANGE(""https://docs.google.com/spreadsheets/d/1eHaY18a8A9IcSdp1K8H6x8fbOy06t2VsZHhMHf-1x7Y/edit?usp=sharing"",""แผน!IK77"")"),0)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IFERROR(__xludf.DUMMYFUNCTION("IMPORTRANGE(""https://docs.google.com/spreadsheets/d/1eHaY18a8A9IcSdp1K8H6x8fbOy06t2VsZHhMHf-1x7Y/edit?usp=sharing"",""แผน!IL77"")"),0)</f>
        <v>0</v>
      </c>
      <c r="J673" s="37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t="shared" ref="K673:K676" ca="1" si="407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IFERROR(__xludf.DUMMYFUNCTION("IMPORTRANGE(""https://docs.google.com/spreadsheets/d/1eHaY18a8A9IcSdp1K8H6x8fbOy06t2VsZHhMHf-1x7Y/edit?usp=sharing"",""แผน!IM77"")"),0)</f>
        <v>0</v>
      </c>
      <c r="J674" s="371">
        <f ca="1">J676+J679</f>
        <v>0</v>
      </c>
      <c r="K674" s="133">
        <f t="shared" ca="1" si="407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IFERROR(__xludf.DUMMYFUNCTION("IMPORTRANGE(""https://docs.google.com/spreadsheets/d/1eHaY18a8A9IcSdp1K8H6x8fbOy06t2VsZHhMHf-1x7Y/edit?usp=sharing"",""แผน!IN77"")"),0)</f>
        <v>0</v>
      </c>
      <c r="J675" s="371">
        <f ca="1">J678+J681</f>
        <v>0</v>
      </c>
      <c r="K675" s="133">
        <f t="shared" ca="1" si="407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IFERROR(__xludf.DUMMYFUNCTION("IMPORTRANGE(""https://docs.google.com/spreadsheets/d/1eHaY18a8A9IcSdp1K8H6x8fbOy06t2VsZHhMHf-1x7Y/edit?usp=sharing"",""แผน!IO77"")"),0)</f>
        <v>0</v>
      </c>
      <c r="J676" s="37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t="shared" ca="1" si="407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IFERROR(__xludf.DUMMYFUNCTION("IMPORTRANGE(""https://docs.google.com/spreadsheets/d/1eHaY18a8A9IcSdp1K8H6x8fbOy06t2VsZHhMHf-1x7Y/edit?usp=sharing"",""แผน!IP77"")"),0)</f>
        <v>0</v>
      </c>
      <c r="J678" s="37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t="shared" ref="K678:K679" ca="1" si="408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IFERROR(__xludf.DUMMYFUNCTION("IMPORTRANGE(""https://docs.google.com/spreadsheets/d/1eHaY18a8A9IcSdp1K8H6x8fbOy06t2VsZHhMHf-1x7Y/edit?usp=sharing"",""แผน!IQ77"")"),0)</f>
        <v>0</v>
      </c>
      <c r="J679" s="37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t="shared" ca="1" si="408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IFERROR(__xludf.DUMMYFUNCTION("IMPORTRANGE(""https://docs.google.com/spreadsheets/d/1eHaY18a8A9IcSdp1K8H6x8fbOy06t2VsZHhMHf-1x7Y/edit?usp=sharing"",""แผน!IR77"")"),0)</f>
        <v>0</v>
      </c>
      <c r="J681" s="37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t="shared" ref="K681:K682" ca="1" si="409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IFERROR(__xludf.DUMMYFUNCTION("IMPORTRANGE(""https://docs.google.com/spreadsheets/d/1eHaY18a8A9IcSdp1K8H6x8fbOy06t2VsZHhMHf-1x7Y/edit?usp=sharing"",""แผน!IS77"")"),0)</f>
        <v>0</v>
      </c>
      <c r="J682" s="371">
        <f>J685+J688</f>
        <v>0</v>
      </c>
      <c r="K682" s="133">
        <f t="shared" ca="1" si="409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0">I707+I709</f>
        <v>1</v>
      </c>
      <c r="J689" s="844">
        <f t="shared" ca="1" si="410"/>
        <v>3</v>
      </c>
      <c r="K689" s="505">
        <f ca="1">IF(I689&gt;0,J689*100/I689,0)</f>
        <v>300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1">L691+L692</f>
        <v>0</v>
      </c>
      <c r="M690" s="133">
        <f t="shared" si="411"/>
        <v>0</v>
      </c>
      <c r="N690" s="133">
        <f t="shared" si="411"/>
        <v>0</v>
      </c>
      <c r="O690" s="133">
        <f t="shared" ref="O690:O698" si="412">IF(L690&gt;0,N690*100/L690,0)</f>
        <v>0</v>
      </c>
      <c r="P690" s="133">
        <f t="shared" ref="P690:P698" si="413">IF(M690&gt;0,N690*100/M690,0)</f>
        <v>0</v>
      </c>
      <c r="Q690" s="133">
        <f t="shared" ref="Q690:S690" ca="1" si="414">Q691+Q692</f>
        <v>64340</v>
      </c>
      <c r="R690" s="133">
        <f t="shared" ca="1" si="414"/>
        <v>64340</v>
      </c>
      <c r="S690" s="133">
        <f t="shared" ca="1" si="414"/>
        <v>42376.05</v>
      </c>
      <c r="T690" s="133">
        <f t="shared" ref="T690:T698" ca="1" si="415">IF(Q690&gt;0,S690*100/Q690,0)</f>
        <v>65.862682623562321</v>
      </c>
      <c r="U690" s="133">
        <f t="shared" ref="U690:U698" ca="1" si="416">IF(R690&gt;0,S690*100/R690,0)</f>
        <v>65.862682623562321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7">L694+L697</f>
        <v>0</v>
      </c>
      <c r="M691" s="49">
        <f t="shared" si="417"/>
        <v>0</v>
      </c>
      <c r="N691" s="49">
        <f t="shared" si="417"/>
        <v>0</v>
      </c>
      <c r="O691" s="49">
        <f t="shared" si="412"/>
        <v>0</v>
      </c>
      <c r="P691" s="49">
        <f t="shared" si="413"/>
        <v>0</v>
      </c>
      <c r="Q691" s="49">
        <f t="shared" ref="Q691:S692" si="418">Q694+Q697</f>
        <v>0</v>
      </c>
      <c r="R691" s="49">
        <f t="shared" si="418"/>
        <v>0</v>
      </c>
      <c r="S691" s="49">
        <f t="shared" si="418"/>
        <v>0</v>
      </c>
      <c r="T691" s="49">
        <f t="shared" si="415"/>
        <v>0</v>
      </c>
      <c r="U691" s="49">
        <f t="shared" si="416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7"/>
        <v>0</v>
      </c>
      <c r="M692" s="47">
        <f t="shared" si="417"/>
        <v>0</v>
      </c>
      <c r="N692" s="47">
        <f t="shared" si="417"/>
        <v>0</v>
      </c>
      <c r="O692" s="47">
        <f t="shared" si="412"/>
        <v>0</v>
      </c>
      <c r="P692" s="47">
        <f t="shared" si="413"/>
        <v>0</v>
      </c>
      <c r="Q692" s="47">
        <f t="shared" ca="1" si="418"/>
        <v>64340</v>
      </c>
      <c r="R692" s="47">
        <f t="shared" ca="1" si="418"/>
        <v>64340</v>
      </c>
      <c r="S692" s="47">
        <f t="shared" ca="1" si="418"/>
        <v>42376.05</v>
      </c>
      <c r="T692" s="47">
        <f t="shared" ca="1" si="415"/>
        <v>65.862682623562321</v>
      </c>
      <c r="U692" s="47">
        <f t="shared" ca="1" si="416"/>
        <v>65.862682623562321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19">L694+L695</f>
        <v>0</v>
      </c>
      <c r="M693" s="47">
        <f t="shared" si="419"/>
        <v>0</v>
      </c>
      <c r="N693" s="47">
        <f t="shared" si="419"/>
        <v>0</v>
      </c>
      <c r="O693" s="47">
        <f t="shared" si="412"/>
        <v>0</v>
      </c>
      <c r="P693" s="47">
        <f t="shared" si="413"/>
        <v>0</v>
      </c>
      <c r="Q693" s="47">
        <f t="shared" ref="Q693:S693" ca="1" si="420">Q694+Q695</f>
        <v>64340</v>
      </c>
      <c r="R693" s="47">
        <f t="shared" ca="1" si="420"/>
        <v>64340</v>
      </c>
      <c r="S693" s="47">
        <f t="shared" ca="1" si="420"/>
        <v>42376.05</v>
      </c>
      <c r="T693" s="47">
        <f t="shared" ca="1" si="415"/>
        <v>65.862682623562321</v>
      </c>
      <c r="U693" s="47">
        <f t="shared" ca="1" si="416"/>
        <v>65.862682623562321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2"/>
        <v>0</v>
      </c>
      <c r="P694" s="49">
        <f t="shared" si="413"/>
        <v>0</v>
      </c>
      <c r="Q694" s="49">
        <v>0</v>
      </c>
      <c r="R694" s="49">
        <v>0</v>
      </c>
      <c r="S694" s="49">
        <v>0</v>
      </c>
      <c r="T694" s="49">
        <f t="shared" si="415"/>
        <v>0</v>
      </c>
      <c r="U694" s="49">
        <f t="shared" si="416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2"/>
        <v>0</v>
      </c>
      <c r="P695" s="47">
        <f t="shared" si="413"/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IFERROR(__xludf.DUMMYFUNCTION("IMPORTRANGE(""https://docs.google.com/spreadsheets/d/1ItG2mGa2ceCfYo0BwxsXqNm01IGEUdYcSSLTEv9YCik/edit?usp=sharing"",""เบิกจ่ายกองทุน!N77"")"),42376.05)</f>
        <v>42376.05</v>
      </c>
      <c r="T695" s="47">
        <f t="shared" ca="1" si="415"/>
        <v>65.862682623562321</v>
      </c>
      <c r="U695" s="47">
        <f t="shared" ca="1" si="416"/>
        <v>65.862682623562321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1">L697+L698</f>
        <v>0</v>
      </c>
      <c r="M696" s="47">
        <f t="shared" si="421"/>
        <v>0</v>
      </c>
      <c r="N696" s="47">
        <f t="shared" si="421"/>
        <v>0</v>
      </c>
      <c r="O696" s="47">
        <f t="shared" si="412"/>
        <v>0</v>
      </c>
      <c r="P696" s="47">
        <f t="shared" si="413"/>
        <v>0</v>
      </c>
      <c r="Q696" s="47">
        <f t="shared" ref="Q696:S696" si="422">Q697+Q698</f>
        <v>0</v>
      </c>
      <c r="R696" s="47">
        <f t="shared" si="422"/>
        <v>0</v>
      </c>
      <c r="S696" s="47">
        <f t="shared" si="422"/>
        <v>0</v>
      </c>
      <c r="T696" s="47">
        <f t="shared" si="415"/>
        <v>0</v>
      </c>
      <c r="U696" s="47">
        <f t="shared" si="416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2"/>
        <v>0</v>
      </c>
      <c r="P697" s="49">
        <f t="shared" si="413"/>
        <v>0</v>
      </c>
      <c r="Q697" s="49">
        <v>0</v>
      </c>
      <c r="R697" s="49">
        <v>0</v>
      </c>
      <c r="S697" s="49">
        <v>0</v>
      </c>
      <c r="T697" s="49">
        <f t="shared" si="415"/>
        <v>0</v>
      </c>
      <c r="U697" s="49">
        <f t="shared" si="416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2"/>
        <v>0</v>
      </c>
      <c r="P698" s="47">
        <f t="shared" si="413"/>
        <v>0</v>
      </c>
      <c r="Q698" s="47">
        <v>0</v>
      </c>
      <c r="R698" s="47">
        <v>0</v>
      </c>
      <c r="S698" s="47">
        <v>0</v>
      </c>
      <c r="T698" s="47">
        <f t="shared" si="415"/>
        <v>0</v>
      </c>
      <c r="U698" s="47">
        <f t="shared" si="416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IFERROR(__xludf.DUMMYFUNCTION("IMPORTRANGE(""https://docs.google.com/spreadsheets/d/1eHaY18a8A9IcSdp1K8H6x8fbOy06t2VsZHhMHf-1x7Y/edit?usp=sharing"",""แผน!LC77"")"),0)</f>
        <v>0</v>
      </c>
      <c r="J700" s="169">
        <v>0</v>
      </c>
      <c r="K700" s="154">
        <f t="shared" ref="K700:K710" ca="1" si="423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4">I703+I705</f>
        <v>1</v>
      </c>
      <c r="J701" s="371">
        <f t="shared" ca="1" si="424"/>
        <v>3</v>
      </c>
      <c r="K701" s="133">
        <f t="shared" ca="1" si="423"/>
        <v>300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3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IFERROR(__xludf.DUMMYFUNCTION("IMPORTRANGE(""https://docs.google.com/spreadsheets/d/1eHaY18a8A9IcSdp1K8H6x8fbOy06t2VsZHhMHf-1x7Y/edit?usp=sharing"",""แผน!LJ77"")"),0)</f>
        <v>0</v>
      </c>
      <c r="J703" s="37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t="shared" ca="1" si="423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 t="shared" si="423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IFERROR(__xludf.DUMMYFUNCTION("IMPORTRANGE(""https://docs.google.com/spreadsheets/d/1eHaY18a8A9IcSdp1K8H6x8fbOy06t2VsZHhMHf-1x7Y/edit?usp=sharing"",""แผน!LK77"")"),1)</f>
        <v>1</v>
      </c>
      <c r="J705" s="372">
        <f ca="1">IFERROR(__xludf.DUMMYFUNCTION("IMPORTRANGE(""https://docs.google.com/spreadsheets/d/1tdoBKaGub7dwA3U6UFTqxio9LNnvDCQjHKmttSEBsFQ/edit?usp=sharing"",""จัดที่ดิน!AR77"")"),3)</f>
        <v>3</v>
      </c>
      <c r="K705" s="154">
        <f t="shared" ca="1" si="423"/>
        <v>300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 t="shared" si="423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IFERROR(__xludf.DUMMYFUNCTION("IMPORTRANGE(""https://docs.google.com/spreadsheets/d/1eHaY18a8A9IcSdp1K8H6x8fbOy06t2VsZHhMHf-1x7Y/edit?usp=sharing"",""แผน!LJ77"")"),0)</f>
        <v>0</v>
      </c>
      <c r="J707" s="37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t="shared" ca="1" si="423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 t="shared" si="423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IFERROR(__xludf.DUMMYFUNCTION("IMPORTRANGE(""https://docs.google.com/spreadsheets/d/1eHaY18a8A9IcSdp1K8H6x8fbOy06t2VsZHhMHf-1x7Y/edit?usp=sharing"",""แผน!LK77"")"),1)</f>
        <v>1</v>
      </c>
      <c r="J709" s="37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t="shared" ca="1" si="423"/>
        <v>300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 t="shared" si="423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5">L715+L716</f>
        <v>0</v>
      </c>
      <c r="M714" s="133">
        <f t="shared" si="425"/>
        <v>0</v>
      </c>
      <c r="N714" s="133">
        <f t="shared" si="425"/>
        <v>0</v>
      </c>
      <c r="O714" s="133">
        <f t="shared" ref="O714:O722" si="426">IF(L714&gt;0,N714*100/L714,0)</f>
        <v>0</v>
      </c>
      <c r="P714" s="133">
        <f t="shared" ref="P714:P722" si="427">IF(M714&gt;0,N714*100/M714,0)</f>
        <v>0</v>
      </c>
      <c r="Q714" s="133">
        <f t="shared" ref="Q714:S714" si="428">Q715+Q716</f>
        <v>0</v>
      </c>
      <c r="R714" s="133">
        <f t="shared" si="428"/>
        <v>0</v>
      </c>
      <c r="S714" s="133">
        <f t="shared" si="428"/>
        <v>0</v>
      </c>
      <c r="T714" s="133">
        <f t="shared" ref="T714:T722" si="429">IF(Q714&gt;0,S714*100/Q714,0)</f>
        <v>0</v>
      </c>
      <c r="U714" s="133">
        <f t="shared" ref="U714:U722" si="430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1">L718+L721</f>
        <v>0</v>
      </c>
      <c r="M715" s="49">
        <f t="shared" si="431"/>
        <v>0</v>
      </c>
      <c r="N715" s="49">
        <f t="shared" si="431"/>
        <v>0</v>
      </c>
      <c r="O715" s="49">
        <f t="shared" si="426"/>
        <v>0</v>
      </c>
      <c r="P715" s="49">
        <f t="shared" si="427"/>
        <v>0</v>
      </c>
      <c r="Q715" s="49">
        <f t="shared" ref="Q715:S716" si="432">Q718+Q721</f>
        <v>0</v>
      </c>
      <c r="R715" s="49">
        <f t="shared" si="432"/>
        <v>0</v>
      </c>
      <c r="S715" s="49">
        <f t="shared" si="432"/>
        <v>0</v>
      </c>
      <c r="T715" s="49">
        <f t="shared" si="429"/>
        <v>0</v>
      </c>
      <c r="U715" s="49">
        <f t="shared" si="430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1"/>
        <v>0</v>
      </c>
      <c r="M716" s="47">
        <f t="shared" si="431"/>
        <v>0</v>
      </c>
      <c r="N716" s="47">
        <f t="shared" si="431"/>
        <v>0</v>
      </c>
      <c r="O716" s="47">
        <f t="shared" si="426"/>
        <v>0</v>
      </c>
      <c r="P716" s="47">
        <f t="shared" si="427"/>
        <v>0</v>
      </c>
      <c r="Q716" s="47">
        <f t="shared" si="432"/>
        <v>0</v>
      </c>
      <c r="R716" s="47">
        <f t="shared" si="432"/>
        <v>0</v>
      </c>
      <c r="S716" s="47">
        <f t="shared" si="432"/>
        <v>0</v>
      </c>
      <c r="T716" s="47">
        <f t="shared" si="429"/>
        <v>0</v>
      </c>
      <c r="U716" s="47">
        <f t="shared" si="430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3">L718+L719</f>
        <v>0</v>
      </c>
      <c r="M717" s="47">
        <f t="shared" si="433"/>
        <v>0</v>
      </c>
      <c r="N717" s="47">
        <f t="shared" si="433"/>
        <v>0</v>
      </c>
      <c r="O717" s="47">
        <f t="shared" si="426"/>
        <v>0</v>
      </c>
      <c r="P717" s="47">
        <f t="shared" si="427"/>
        <v>0</v>
      </c>
      <c r="Q717" s="47">
        <f t="shared" ref="Q717:S717" si="434">Q718+Q719</f>
        <v>0</v>
      </c>
      <c r="R717" s="47">
        <f t="shared" si="434"/>
        <v>0</v>
      </c>
      <c r="S717" s="47">
        <f t="shared" si="434"/>
        <v>0</v>
      </c>
      <c r="T717" s="47">
        <f t="shared" si="429"/>
        <v>0</v>
      </c>
      <c r="U717" s="47">
        <f t="shared" si="430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6"/>
        <v>0</v>
      </c>
      <c r="P718" s="49">
        <f t="shared" si="427"/>
        <v>0</v>
      </c>
      <c r="Q718" s="49">
        <v>0</v>
      </c>
      <c r="R718" s="49">
        <v>0</v>
      </c>
      <c r="S718" s="49">
        <v>0</v>
      </c>
      <c r="T718" s="49">
        <f t="shared" si="429"/>
        <v>0</v>
      </c>
      <c r="U718" s="49">
        <f t="shared" si="430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6"/>
        <v>0</v>
      </c>
      <c r="P719" s="47">
        <f t="shared" si="427"/>
        <v>0</v>
      </c>
      <c r="Q719" s="47">
        <v>0</v>
      </c>
      <c r="R719" s="47">
        <v>0</v>
      </c>
      <c r="S719" s="47">
        <v>0</v>
      </c>
      <c r="T719" s="47">
        <f t="shared" si="429"/>
        <v>0</v>
      </c>
      <c r="U719" s="47">
        <f t="shared" si="430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5">L721+L722</f>
        <v>0</v>
      </c>
      <c r="M720" s="47">
        <f t="shared" si="435"/>
        <v>0</v>
      </c>
      <c r="N720" s="47">
        <f t="shared" si="435"/>
        <v>0</v>
      </c>
      <c r="O720" s="47">
        <f t="shared" si="426"/>
        <v>0</v>
      </c>
      <c r="P720" s="47">
        <f t="shared" si="427"/>
        <v>0</v>
      </c>
      <c r="Q720" s="47">
        <f t="shared" ref="Q720:S720" si="436">Q721+Q722</f>
        <v>0</v>
      </c>
      <c r="R720" s="47">
        <f t="shared" si="436"/>
        <v>0</v>
      </c>
      <c r="S720" s="47">
        <f t="shared" si="436"/>
        <v>0</v>
      </c>
      <c r="T720" s="47">
        <f t="shared" si="429"/>
        <v>0</v>
      </c>
      <c r="U720" s="47">
        <f t="shared" si="430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6"/>
        <v>0</v>
      </c>
      <c r="P721" s="49">
        <f t="shared" si="427"/>
        <v>0</v>
      </c>
      <c r="Q721" s="49">
        <v>0</v>
      </c>
      <c r="R721" s="49">
        <v>0</v>
      </c>
      <c r="S721" s="49">
        <v>0</v>
      </c>
      <c r="T721" s="49">
        <f t="shared" si="429"/>
        <v>0</v>
      </c>
      <c r="U721" s="49">
        <f t="shared" si="430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6"/>
        <v>0</v>
      </c>
      <c r="P722" s="47">
        <f t="shared" si="427"/>
        <v>0</v>
      </c>
      <c r="Q722" s="47">
        <v>0</v>
      </c>
      <c r="R722" s="47">
        <v>0</v>
      </c>
      <c r="S722" s="47">
        <v>0</v>
      </c>
      <c r="T722" s="47">
        <f t="shared" si="429"/>
        <v>0</v>
      </c>
      <c r="U722" s="47">
        <f t="shared" si="430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IFERROR(__xludf.DUMMYFUNCTION("IMPORTRANGE(""https://docs.google.com/spreadsheets/d/1eHaY18a8A9IcSdp1K8H6x8fbOy06t2VsZHhMHf-1x7Y/edit?usp=sharing"",""แผน!GA77"")"),31)</f>
        <v>31</v>
      </c>
      <c r="J726" s="504">
        <f>J742+J746+J749</f>
        <v>30</v>
      </c>
      <c r="K726" s="505">
        <f t="shared" ref="K726:K727" ca="1" si="437">IF(I726&gt;0,J726*100/I726,0)</f>
        <v>96.774193548387103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IFERROR(__xludf.DUMMYFUNCTION("IMPORTRANGE(""https://docs.google.com/spreadsheets/d/1eHaY18a8A9IcSdp1K8H6x8fbOy06t2VsZHhMHf-1x7Y/edit?usp=sharing"",""แผน!FZ77"")"),300)</f>
        <v>300</v>
      </c>
      <c r="J727" s="504">
        <f>J752+J755</f>
        <v>300</v>
      </c>
      <c r="K727" s="505">
        <f t="shared" ca="1" si="437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38">L729+L730</f>
        <v>0</v>
      </c>
      <c r="M728" s="133">
        <f t="shared" si="438"/>
        <v>0</v>
      </c>
      <c r="N728" s="133">
        <f t="shared" si="438"/>
        <v>0</v>
      </c>
      <c r="O728" s="133">
        <f t="shared" ref="O728:O736" si="439">IF(L728&gt;0,N728*100/L728,0)</f>
        <v>0</v>
      </c>
      <c r="P728" s="133">
        <f t="shared" ref="P728:P736" si="440">IF(M728&gt;0,N728*100/M728,0)</f>
        <v>0</v>
      </c>
      <c r="Q728" s="133">
        <f t="shared" ref="Q728:S728" ca="1" si="441">Q729+Q730</f>
        <v>242546</v>
      </c>
      <c r="R728" s="133">
        <f t="shared" ca="1" si="441"/>
        <v>242546</v>
      </c>
      <c r="S728" s="133">
        <f t="shared" ca="1" si="441"/>
        <v>189880</v>
      </c>
      <c r="T728" s="133">
        <f t="shared" ref="T728:T736" ca="1" si="442">IF(Q728&gt;0,S728*100/Q728,0)</f>
        <v>78.286180765710426</v>
      </c>
      <c r="U728" s="133">
        <f t="shared" ref="U728:U736" ca="1" si="443">IF(R728&gt;0,S728*100/R728,0)</f>
        <v>78.286180765710426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4">L732+L735</f>
        <v>0</v>
      </c>
      <c r="M729" s="49">
        <f t="shared" si="444"/>
        <v>0</v>
      </c>
      <c r="N729" s="49">
        <f t="shared" si="444"/>
        <v>0</v>
      </c>
      <c r="O729" s="49">
        <f t="shared" si="439"/>
        <v>0</v>
      </c>
      <c r="P729" s="49">
        <f t="shared" si="440"/>
        <v>0</v>
      </c>
      <c r="Q729" s="49">
        <f t="shared" ref="Q729:S730" si="445">Q732+Q735</f>
        <v>0</v>
      </c>
      <c r="R729" s="49">
        <f t="shared" si="445"/>
        <v>0</v>
      </c>
      <c r="S729" s="49">
        <f t="shared" si="445"/>
        <v>0</v>
      </c>
      <c r="T729" s="49">
        <f t="shared" si="442"/>
        <v>0</v>
      </c>
      <c r="U729" s="49">
        <f t="shared" si="443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4"/>
        <v>0</v>
      </c>
      <c r="M730" s="47">
        <f t="shared" si="444"/>
        <v>0</v>
      </c>
      <c r="N730" s="47">
        <f t="shared" si="444"/>
        <v>0</v>
      </c>
      <c r="O730" s="47">
        <f t="shared" si="439"/>
        <v>0</v>
      </c>
      <c r="P730" s="47">
        <f t="shared" si="440"/>
        <v>0</v>
      </c>
      <c r="Q730" s="47">
        <f t="shared" ca="1" si="445"/>
        <v>242546</v>
      </c>
      <c r="R730" s="47">
        <f t="shared" ca="1" si="445"/>
        <v>242546</v>
      </c>
      <c r="S730" s="47">
        <f t="shared" ca="1" si="445"/>
        <v>189880</v>
      </c>
      <c r="T730" s="47">
        <f t="shared" ca="1" si="442"/>
        <v>78.286180765710426</v>
      </c>
      <c r="U730" s="47">
        <f t="shared" ca="1" si="443"/>
        <v>78.286180765710426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6">L732+L733</f>
        <v>0</v>
      </c>
      <c r="M731" s="47">
        <f t="shared" si="446"/>
        <v>0</v>
      </c>
      <c r="N731" s="47">
        <f t="shared" si="446"/>
        <v>0</v>
      </c>
      <c r="O731" s="47">
        <f t="shared" si="439"/>
        <v>0</v>
      </c>
      <c r="P731" s="47">
        <f t="shared" si="440"/>
        <v>0</v>
      </c>
      <c r="Q731" s="47">
        <f t="shared" ref="Q731:S731" ca="1" si="447">Q732+Q733</f>
        <v>242546</v>
      </c>
      <c r="R731" s="47">
        <f t="shared" ca="1" si="447"/>
        <v>242546</v>
      </c>
      <c r="S731" s="47">
        <f t="shared" ca="1" si="447"/>
        <v>189880</v>
      </c>
      <c r="T731" s="47">
        <f t="shared" ca="1" si="442"/>
        <v>78.286180765710426</v>
      </c>
      <c r="U731" s="47">
        <f t="shared" ca="1" si="443"/>
        <v>78.286180765710426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39"/>
        <v>0</v>
      </c>
      <c r="P732" s="49">
        <f t="shared" si="440"/>
        <v>0</v>
      </c>
      <c r="Q732" s="49">
        <v>0</v>
      </c>
      <c r="R732" s="49">
        <v>0</v>
      </c>
      <c r="S732" s="49">
        <v>0</v>
      </c>
      <c r="T732" s="49">
        <f t="shared" si="442"/>
        <v>0</v>
      </c>
      <c r="U732" s="49">
        <f t="shared" si="443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39"/>
        <v>0</v>
      </c>
      <c r="P733" s="47">
        <f t="shared" si="440"/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IFERROR(__xludf.DUMMYFUNCTION("IMPORTRANGE(""https://docs.google.com/spreadsheets/d/1ItG2mGa2ceCfYo0BwxsXqNm01IGEUdYcSSLTEv9YCik/edit?usp=sharing"",""เบิกจ่ายกองทุน!Q77"")"),189880)</f>
        <v>189880</v>
      </c>
      <c r="T733" s="47">
        <f t="shared" ca="1" si="442"/>
        <v>78.286180765710426</v>
      </c>
      <c r="U733" s="47">
        <f t="shared" ca="1" si="443"/>
        <v>78.286180765710426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48">L735+L736</f>
        <v>0</v>
      </c>
      <c r="M734" s="47">
        <f t="shared" si="448"/>
        <v>0</v>
      </c>
      <c r="N734" s="47">
        <f t="shared" si="448"/>
        <v>0</v>
      </c>
      <c r="O734" s="47">
        <f t="shared" si="439"/>
        <v>0</v>
      </c>
      <c r="P734" s="47">
        <f t="shared" si="440"/>
        <v>0</v>
      </c>
      <c r="Q734" s="47">
        <f t="shared" ref="Q734:S734" si="449">Q735+Q736</f>
        <v>0</v>
      </c>
      <c r="R734" s="47">
        <f t="shared" si="449"/>
        <v>0</v>
      </c>
      <c r="S734" s="47">
        <f t="shared" si="449"/>
        <v>0</v>
      </c>
      <c r="T734" s="47">
        <f t="shared" si="442"/>
        <v>0</v>
      </c>
      <c r="U734" s="47">
        <f t="shared" si="443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39"/>
        <v>0</v>
      </c>
      <c r="P735" s="49">
        <f t="shared" si="440"/>
        <v>0</v>
      </c>
      <c r="Q735" s="49">
        <v>0</v>
      </c>
      <c r="R735" s="49">
        <v>0</v>
      </c>
      <c r="S735" s="49">
        <v>0</v>
      </c>
      <c r="T735" s="49">
        <f t="shared" si="442"/>
        <v>0</v>
      </c>
      <c r="U735" s="49">
        <f t="shared" si="443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39"/>
        <v>0</v>
      </c>
      <c r="P736" s="47">
        <f t="shared" si="440"/>
        <v>0</v>
      </c>
      <c r="Q736" s="47">
        <v>0</v>
      </c>
      <c r="R736" s="47">
        <v>0</v>
      </c>
      <c r="S736" s="47">
        <v>0</v>
      </c>
      <c r="T736" s="47">
        <f t="shared" si="442"/>
        <v>0</v>
      </c>
      <c r="U736" s="47">
        <f t="shared" si="443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IFERROR(__xludf.DUMMYFUNCTION("IMPORTRANGE(""https://docs.google.com/spreadsheets/d/1eHaY18a8A9IcSdp1K8H6x8fbOy06t2VsZHhMHf-1x7Y/edit?usp=sharing"",""แผน!GB77"")"),240)</f>
        <v>240</v>
      </c>
      <c r="J740" s="795">
        <v>240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24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IFERROR(__xludf.DUMMYFUNCTION("IMPORTRANGE(""https://docs.google.com/spreadsheets/d/1eHaY18a8A9IcSdp1K8H6x8fbOy06t2VsZHhMHf-1x7Y/edit?usp=sharing"",""แผน!GC77"")"),24)</f>
        <v>24</v>
      </c>
      <c r="J742" s="795">
        <v>24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IFERROR(__xludf.DUMMYFUNCTION("IMPORTRANGE(""https://docs.google.com/spreadsheets/d/1eHaY18a8A9IcSdp1K8H6x8fbOy06t2VsZHhMHf-1x7Y/edit?usp=sharing"",""แผน!GD77"")"),60)</f>
        <v>60</v>
      </c>
      <c r="J744" s="795">
        <v>60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6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IFERROR(__xludf.DUMMYFUNCTION("IMPORTRANGE(""https://docs.google.com/spreadsheets/d/1eHaY18a8A9IcSdp1K8H6x8fbOy06t2VsZHhMHf-1x7Y/edit?usp=sharing"",""แผน!GE77"")"),6)</f>
        <v>6</v>
      </c>
      <c r="J746" s="795">
        <v>6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IFERROR(__xludf.DUMMYFUNCTION("IMPORTRANGE(""https://docs.google.com/spreadsheets/d/1eHaY18a8A9IcSdp1K8H6x8fbOy06t2VsZHhMHf-1x7Y/edit?usp=sharing"",""แผน!GF77"")"),1)</f>
        <v>1</v>
      </c>
      <c r="J749" s="795">
        <v>0</v>
      </c>
      <c r="K749" s="352">
        <f ca="1">IF(I749&gt;0,J749*100/I749,0)</f>
        <v>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IFERROR(__xludf.DUMMYFUNCTION("IMPORTRANGE(""https://docs.google.com/spreadsheets/d/1eHaY18a8A9IcSdp1K8H6x8fbOy06t2VsZHhMHf-1x7Y/edit?usp=sharing"",""แผน!GB77"")"),240)</f>
        <v>240</v>
      </c>
      <c r="J752" s="795">
        <v>240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IFERROR(__xludf.DUMMYFUNCTION("IMPORTRANGE(""https://docs.google.com/spreadsheets/d/1eHaY18a8A9IcSdp1K8H6x8fbOy06t2VsZHhMHf-1x7Y/edit?usp=sharing"",""แผน!GD77"")"),60)</f>
        <v>60</v>
      </c>
      <c r="J755" s="795">
        <v>60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0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0">I772</f>
        <v>20</v>
      </c>
      <c r="J758" s="504">
        <f t="shared" si="450"/>
        <v>20</v>
      </c>
      <c r="K758" s="505">
        <f t="shared" ref="K758:K759" ca="1" si="451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2">I774</f>
        <v>50</v>
      </c>
      <c r="J759" s="504">
        <f t="shared" si="452"/>
        <v>50</v>
      </c>
      <c r="K759" s="505">
        <f t="shared" ca="1" si="451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3">L761+L762</f>
        <v>0</v>
      </c>
      <c r="M760" s="133">
        <f t="shared" si="453"/>
        <v>0</v>
      </c>
      <c r="N760" s="133">
        <f t="shared" si="453"/>
        <v>0</v>
      </c>
      <c r="O760" s="133">
        <f t="shared" ref="O760:O768" si="454">IF(L760&gt;0,N760*100/L760,0)</f>
        <v>0</v>
      </c>
      <c r="P760" s="133">
        <f t="shared" ref="P760:P768" si="455">IF(M760&gt;0,N760*100/M760,0)</f>
        <v>0</v>
      </c>
      <c r="Q760" s="133">
        <f t="shared" ref="Q760:S760" ca="1" si="456">Q761+Q762</f>
        <v>148660</v>
      </c>
      <c r="R760" s="133">
        <f t="shared" ca="1" si="456"/>
        <v>148660</v>
      </c>
      <c r="S760" s="133">
        <f t="shared" ca="1" si="456"/>
        <v>117476.8</v>
      </c>
      <c r="T760" s="133">
        <f t="shared" ref="T760:T768" ca="1" si="457">IF(Q760&gt;0,S760*100/Q760,0)</f>
        <v>79.023812727028115</v>
      </c>
      <c r="U760" s="133">
        <f t="shared" ref="U760:U768" ca="1" si="458">IF(R760&gt;0,S760*100/R760,0)</f>
        <v>79.023812727028115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59">L764+L767</f>
        <v>0</v>
      </c>
      <c r="M761" s="49">
        <f t="shared" si="459"/>
        <v>0</v>
      </c>
      <c r="N761" s="49">
        <f t="shared" si="459"/>
        <v>0</v>
      </c>
      <c r="O761" s="49">
        <f t="shared" si="454"/>
        <v>0</v>
      </c>
      <c r="P761" s="49">
        <f t="shared" si="455"/>
        <v>0</v>
      </c>
      <c r="Q761" s="49">
        <f t="shared" ref="Q761:S762" si="460">Q764+Q767</f>
        <v>0</v>
      </c>
      <c r="R761" s="49">
        <f t="shared" si="460"/>
        <v>0</v>
      </c>
      <c r="S761" s="49">
        <f t="shared" si="460"/>
        <v>0</v>
      </c>
      <c r="T761" s="49">
        <f t="shared" si="457"/>
        <v>0</v>
      </c>
      <c r="U761" s="49">
        <f t="shared" si="458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59"/>
        <v>0</v>
      </c>
      <c r="M762" s="47">
        <f t="shared" si="459"/>
        <v>0</v>
      </c>
      <c r="N762" s="47">
        <f t="shared" si="459"/>
        <v>0</v>
      </c>
      <c r="O762" s="47">
        <f t="shared" si="454"/>
        <v>0</v>
      </c>
      <c r="P762" s="47">
        <f t="shared" si="455"/>
        <v>0</v>
      </c>
      <c r="Q762" s="47">
        <f t="shared" ca="1" si="460"/>
        <v>148660</v>
      </c>
      <c r="R762" s="47">
        <f t="shared" ca="1" si="460"/>
        <v>148660</v>
      </c>
      <c r="S762" s="47">
        <f t="shared" ca="1" si="460"/>
        <v>117476.8</v>
      </c>
      <c r="T762" s="47">
        <f t="shared" ca="1" si="457"/>
        <v>79.023812727028115</v>
      </c>
      <c r="U762" s="47">
        <f t="shared" ca="1" si="458"/>
        <v>79.023812727028115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1">L764+L765</f>
        <v>0</v>
      </c>
      <c r="M763" s="47">
        <f t="shared" si="461"/>
        <v>0</v>
      </c>
      <c r="N763" s="47">
        <f t="shared" si="461"/>
        <v>0</v>
      </c>
      <c r="O763" s="47">
        <f t="shared" si="454"/>
        <v>0</v>
      </c>
      <c r="P763" s="47">
        <f t="shared" si="455"/>
        <v>0</v>
      </c>
      <c r="Q763" s="47">
        <f t="shared" ref="Q763:S763" ca="1" si="462">Q764+Q765</f>
        <v>148660</v>
      </c>
      <c r="R763" s="47">
        <f t="shared" ca="1" si="462"/>
        <v>148660</v>
      </c>
      <c r="S763" s="47">
        <f t="shared" ca="1" si="462"/>
        <v>117476.8</v>
      </c>
      <c r="T763" s="47">
        <f t="shared" ca="1" si="457"/>
        <v>79.023812727028115</v>
      </c>
      <c r="U763" s="47">
        <f t="shared" ca="1" si="458"/>
        <v>79.023812727028115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4"/>
        <v>0</v>
      </c>
      <c r="P764" s="49">
        <f t="shared" si="455"/>
        <v>0</v>
      </c>
      <c r="Q764" s="49">
        <v>0</v>
      </c>
      <c r="R764" s="49">
        <v>0</v>
      </c>
      <c r="S764" s="49">
        <v>0</v>
      </c>
      <c r="T764" s="49">
        <f t="shared" si="457"/>
        <v>0</v>
      </c>
      <c r="U764" s="49">
        <f t="shared" si="458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4"/>
        <v>0</v>
      </c>
      <c r="P765" s="47">
        <f t="shared" si="455"/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IFERROR(__xludf.DUMMYFUNCTION("IMPORTRANGE(""https://docs.google.com/spreadsheets/d/1ItG2mGa2ceCfYo0BwxsXqNm01IGEUdYcSSLTEv9YCik/edit?usp=sharing"",""เบิกจ่ายกองทุน!AC77"")"),117476.8)</f>
        <v>117476.8</v>
      </c>
      <c r="T765" s="47">
        <f t="shared" ca="1" si="457"/>
        <v>79.023812727028115</v>
      </c>
      <c r="U765" s="47">
        <f t="shared" ca="1" si="458"/>
        <v>79.023812727028115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3">L767+L768</f>
        <v>0</v>
      </c>
      <c r="M766" s="47">
        <f t="shared" si="463"/>
        <v>0</v>
      </c>
      <c r="N766" s="47">
        <f t="shared" si="463"/>
        <v>0</v>
      </c>
      <c r="O766" s="47">
        <f t="shared" si="454"/>
        <v>0</v>
      </c>
      <c r="P766" s="47">
        <f t="shared" si="455"/>
        <v>0</v>
      </c>
      <c r="Q766" s="47">
        <f t="shared" ref="Q766:S766" si="464">Q767+Q768</f>
        <v>0</v>
      </c>
      <c r="R766" s="47">
        <f t="shared" si="464"/>
        <v>0</v>
      </c>
      <c r="S766" s="47">
        <f t="shared" si="464"/>
        <v>0</v>
      </c>
      <c r="T766" s="47">
        <f t="shared" si="457"/>
        <v>0</v>
      </c>
      <c r="U766" s="47">
        <f t="shared" si="458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4"/>
        <v>0</v>
      </c>
      <c r="P767" s="49">
        <f t="shared" si="455"/>
        <v>0</v>
      </c>
      <c r="Q767" s="49">
        <v>0</v>
      </c>
      <c r="R767" s="49">
        <v>0</v>
      </c>
      <c r="S767" s="49">
        <v>0</v>
      </c>
      <c r="T767" s="49">
        <f t="shared" si="457"/>
        <v>0</v>
      </c>
      <c r="U767" s="49">
        <f t="shared" si="458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4"/>
        <v>0</v>
      </c>
      <c r="P768" s="47">
        <f t="shared" si="455"/>
        <v>0</v>
      </c>
      <c r="Q768" s="47">
        <v>0</v>
      </c>
      <c r="R768" s="47">
        <v>0</v>
      </c>
      <c r="S768" s="47">
        <v>0</v>
      </c>
      <c r="T768" s="47">
        <f t="shared" si="457"/>
        <v>0</v>
      </c>
      <c r="U768" s="47">
        <f t="shared" si="458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IFERROR(__xludf.DUMMYFUNCTION("IMPORTRANGE(""https://docs.google.com/spreadsheets/d/1eHaY18a8A9IcSdp1K8H6x8fbOy06t2VsZHhMHf-1x7Y/edit?usp=sharing"",""แผน!FI77"")"),1)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IFERROR(__xludf.DUMMYFUNCTION("IMPORTRANGE(""https://docs.google.com/spreadsheets/d/1eHaY18a8A9IcSdp1K8H6x8fbOy06t2VsZHhMHf-1x7Y/edit?usp=sharing"",""แผน!FQ77"")"),20)</f>
        <v>20</v>
      </c>
      <c r="J772" s="169">
        <v>20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IFERROR(__xludf.DUMMYFUNCTION("IMPORTRANGE(""https://docs.google.com/spreadsheets/d/1eHaY18a8A9IcSdp1K8H6x8fbOy06t2VsZHhMHf-1x7Y/edit?usp=sharing"",""แผน!FR77"")"),50)</f>
        <v>50</v>
      </c>
      <c r="J774" s="169">
        <v>50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IFERROR(__xludf.DUMMYFUNCTION("IMPORTRANGE(""https://docs.google.com/spreadsheets/d/1eHaY18a8A9IcSdp1K8H6x8fbOy06t2VsZHhMHf-1x7Y/edit?usp=sharing"",""แผน!FS77"")"),50)</f>
        <v>50</v>
      </c>
      <c r="J775" s="169">
        <v>50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IFERROR(__xludf.DUMMYFUNCTION("IMPORTRANGE(""https://docs.google.com/spreadsheets/d/1eHaY18a8A9IcSdp1K8H6x8fbOy06t2VsZHhMHf-1x7Y/edit?usp=sharing"",""แผน!FT77"")"),20)</f>
        <v>20</v>
      </c>
      <c r="J776" s="378">
        <v>20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IFERROR(__xludf.DUMMYFUNCTION("IMPORTRANGE(""https://docs.google.com/spreadsheets/d/10OvvATaaLtwErnr3qtWFcTmtbfpFEt5Bsqel9sXx0uE/edit?usp=sharing"",""งานกองทุน!D77"")"),908878.42)</f>
        <v>908878.42</v>
      </c>
      <c r="J778" s="372">
        <f ca="1">IFERROR(__xludf.DUMMYFUNCTION("IMPORTRANGE(""https://docs.google.com/spreadsheets/d/10OvvATaaLtwErnr3qtWFcTmtbfpFEt5Bsqel9sXx0uE/edit?usp=sharing"",""งานกองทุน!F77"")"),793721.91)</f>
        <v>793721.91</v>
      </c>
      <c r="K778" s="47">
        <f t="shared" ref="K778:K785" ca="1" si="465">IF(I778&gt;0,J778*100/I778,0)</f>
        <v>87.329822398027673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IFERROR(__xludf.DUMMYFUNCTION("IMPORTRANGE(""https://docs.google.com/spreadsheets/d/10OvvATaaLtwErnr3qtWFcTmtbfpFEt5Bsqel9sXx0uE/edit?usp=sharing"",""งานกองทุน!C77"")"),66)</f>
        <v>66</v>
      </c>
      <c r="J779" s="372">
        <f ca="1">IFERROR(__xludf.DUMMYFUNCTION("IMPORTRANGE(""https://docs.google.com/spreadsheets/d/10OvvATaaLtwErnr3qtWFcTmtbfpFEt5Bsqel9sXx0uE/edit?usp=sharing"",""งานกองทุน!E77"")"),60)</f>
        <v>60</v>
      </c>
      <c r="K779" s="47">
        <f t="shared" ca="1" si="465"/>
        <v>90.909090909090907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372">
        <f ca="1">IFERROR(__xludf.DUMMYFUNCTION("IMPORTRANGE(""https://docs.google.com/spreadsheets/d/10OvvATaaLtwErnr3qtWFcTmtbfpFEt5Bsqel9sXx0uE/edit?usp=sharing"",""งานกองทุน!K77"")"),451547.17)</f>
        <v>451547.17</v>
      </c>
      <c r="K780" s="47">
        <f t="shared" ca="1" si="465"/>
        <v>22.384207523620468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IFERROR(__xludf.DUMMYFUNCTION("IMPORTRANGE(""https://docs.google.com/spreadsheets/d/10OvvATaaLtwErnr3qtWFcTmtbfpFEt5Bsqel9sXx0uE/edit?usp=sharing"",""งานกองทุน!H77"")"),79)</f>
        <v>79</v>
      </c>
      <c r="J781" s="372">
        <f ca="1">IFERROR(__xludf.DUMMYFUNCTION("IMPORTRANGE(""https://docs.google.com/spreadsheets/d/10OvvATaaLtwErnr3qtWFcTmtbfpFEt5Bsqel9sXx0uE/edit?usp=sharing"",""งานกองทุน!J77"")"),40)</f>
        <v>40</v>
      </c>
      <c r="K781" s="47">
        <f t="shared" ca="1" si="465"/>
        <v>50.632911392405063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IFERROR(__xludf.DUMMYFUNCTION("IMPORTRANGE(""https://docs.google.com/spreadsheets/d/10OvvATaaLtwErnr3qtWFcTmtbfpFEt5Bsqel9sXx0uE/edit?usp=sharing"",""งานกองทุน!N77"")"),0)</f>
        <v>0</v>
      </c>
      <c r="J782" s="37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t="shared" ca="1" si="465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IFERROR(__xludf.DUMMYFUNCTION("IMPORTRANGE(""https://docs.google.com/spreadsheets/d/10OvvATaaLtwErnr3qtWFcTmtbfpFEt5Bsqel9sXx0uE/edit?usp=sharing"",""งานกองทุน!M77"")"),0)</f>
        <v>0</v>
      </c>
      <c r="J783" s="37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t="shared" ca="1" si="465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IFERROR(__xludf.DUMMYFUNCTION("IMPORTRANGE(""https://docs.google.com/spreadsheets/d/10OvvATaaLtwErnr3qtWFcTmtbfpFEt5Bsqel9sXx0uE/edit?usp=sharing"",""งานกองทุน!S77"")"),2296000)</f>
        <v>2296000</v>
      </c>
      <c r="J784" s="372">
        <f ca="1">IFERROR(__xludf.DUMMYFUNCTION("IMPORTRANGE(""https://docs.google.com/spreadsheets/d/10OvvATaaLtwErnr3qtWFcTmtbfpFEt5Bsqel9sXx0uE/edit?usp=sharing"",""งานกองทุน!U77"")"),1485000)</f>
        <v>1485000</v>
      </c>
      <c r="K784" s="47">
        <f t="shared" ca="1" si="465"/>
        <v>64.677700348432055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IFERROR(__xludf.DUMMYFUNCTION("IMPORTRANGE(""https://docs.google.com/spreadsheets/d/10OvvATaaLtwErnr3qtWFcTmtbfpFEt5Bsqel9sXx0uE/edit?usp=sharing"",""งานกองทุน!R77"")"),82)</f>
        <v>82</v>
      </c>
      <c r="J785" s="205">
        <f ca="1">IFERROR(__xludf.DUMMYFUNCTION("IMPORTRANGE(""https://docs.google.com/spreadsheets/d/10OvvATaaLtwErnr3qtWFcTmtbfpFEt5Bsqel9sXx0uE/edit?usp=sharing"",""งานกองทุน!T77"")"),35)</f>
        <v>35</v>
      </c>
      <c r="K785" s="111">
        <f t="shared" ca="1" si="465"/>
        <v>42.68292682926829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DFBF4-2239-4097-900D-58E79B5A019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322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7616597</v>
      </c>
      <c r="M18" s="35">
        <f t="shared" ca="1" si="0"/>
        <v>8106507.7199999997</v>
      </c>
      <c r="N18" s="35">
        <f t="shared" ca="1" si="0"/>
        <v>7481173.9900000002</v>
      </c>
      <c r="O18" s="35">
        <f t="shared" ref="O18:O26" ca="1" si="1">IF(L18&gt;0,N18*100/L18,0)</f>
        <v>98.222001111520015</v>
      </c>
      <c r="P18" s="35">
        <f t="shared" ref="P18:P26" ca="1" si="2">IF(M18&gt;0,N18*100/M18,0)</f>
        <v>92.286028070297078</v>
      </c>
      <c r="Q18" s="35">
        <f t="shared" ref="Q18:S18" ca="1" si="3">Q19+Q20</f>
        <v>1227117.3900000001</v>
      </c>
      <c r="R18" s="35">
        <f t="shared" ca="1" si="3"/>
        <v>1201979</v>
      </c>
      <c r="S18" s="35">
        <f t="shared" ca="1" si="3"/>
        <v>607870.99</v>
      </c>
      <c r="T18" s="35">
        <f t="shared" ref="T18:T26" ca="1" si="4">IF(Q18&gt;0,S18*100/Q18,0)</f>
        <v>49.536498704496388</v>
      </c>
      <c r="U18" s="35">
        <f t="shared" ref="U18:U26" ca="1" si="5">IF(R18&gt;0,S18*100/R18,0)</f>
        <v>50.572513330099774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7616597</v>
      </c>
      <c r="M20" s="39">
        <f t="shared" ca="1" si="6"/>
        <v>8106507.7199999997</v>
      </c>
      <c r="N20" s="39">
        <f t="shared" ca="1" si="6"/>
        <v>7481173.9900000002</v>
      </c>
      <c r="O20" s="39">
        <f t="shared" ca="1" si="1"/>
        <v>98.222001111520015</v>
      </c>
      <c r="P20" s="39">
        <f t="shared" ca="1" si="2"/>
        <v>92.286028070297078</v>
      </c>
      <c r="Q20" s="39">
        <f t="shared" ca="1" si="7"/>
        <v>1227117.3900000001</v>
      </c>
      <c r="R20" s="39">
        <f t="shared" ca="1" si="7"/>
        <v>1201979</v>
      </c>
      <c r="S20" s="39">
        <f t="shared" ca="1" si="7"/>
        <v>607870.99</v>
      </c>
      <c r="T20" s="39">
        <f t="shared" ca="1" si="4"/>
        <v>49.536498704496388</v>
      </c>
      <c r="U20" s="39">
        <f t="shared" ca="1" si="5"/>
        <v>50.572513330099774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4056597</v>
      </c>
      <c r="M21" s="47">
        <f t="shared" ca="1" si="8"/>
        <v>4927507.72</v>
      </c>
      <c r="N21" s="47">
        <f t="shared" ca="1" si="8"/>
        <v>4328541.9800000004</v>
      </c>
      <c r="O21" s="47">
        <f t="shared" ca="1" si="1"/>
        <v>106.70377116583187</v>
      </c>
      <c r="P21" s="47">
        <f t="shared" ca="1" si="2"/>
        <v>87.844448471001087</v>
      </c>
      <c r="Q21" s="47">
        <f t="shared" ref="Q21:S21" ca="1" si="9">Q22+Q23</f>
        <v>1227117.3900000001</v>
      </c>
      <c r="R21" s="47">
        <f t="shared" ca="1" si="9"/>
        <v>1201979</v>
      </c>
      <c r="S21" s="47">
        <f t="shared" ca="1" si="9"/>
        <v>607870.99</v>
      </c>
      <c r="T21" s="47">
        <f t="shared" ca="1" si="4"/>
        <v>49.536498704496388</v>
      </c>
      <c r="U21" s="47">
        <f t="shared" ca="1" si="5"/>
        <v>50.572513330099774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4056597</v>
      </c>
      <c r="M23" s="47">
        <f t="shared" ca="1" si="12"/>
        <v>4927507.72</v>
      </c>
      <c r="N23" s="47">
        <f t="shared" ca="1" si="12"/>
        <v>4328541.9800000004</v>
      </c>
      <c r="O23" s="47">
        <f t="shared" ca="1" si="1"/>
        <v>106.70377116583187</v>
      </c>
      <c r="P23" s="47">
        <f t="shared" ca="1" si="2"/>
        <v>87.844448471001087</v>
      </c>
      <c r="Q23" s="47">
        <f t="shared" ca="1" si="11"/>
        <v>1227117.3900000001</v>
      </c>
      <c r="R23" s="47">
        <f t="shared" ca="1" si="11"/>
        <v>1201979</v>
      </c>
      <c r="S23" s="47">
        <f t="shared" ca="1" si="11"/>
        <v>607870.99</v>
      </c>
      <c r="T23" s="47">
        <f t="shared" ca="1" si="4"/>
        <v>49.536498704496388</v>
      </c>
      <c r="U23" s="47">
        <f t="shared" ca="1" si="5"/>
        <v>50.572513330099774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3560000</v>
      </c>
      <c r="M24" s="47">
        <f t="shared" ca="1" si="13"/>
        <v>3179000</v>
      </c>
      <c r="N24" s="47">
        <f t="shared" ca="1" si="13"/>
        <v>3152632.01</v>
      </c>
      <c r="O24" s="47">
        <f t="shared" ca="1" si="1"/>
        <v>88.557078932584275</v>
      </c>
      <c r="P24" s="47">
        <f t="shared" ca="1" si="2"/>
        <v>99.1705570934256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3560000</v>
      </c>
      <c r="M26" s="47">
        <f t="shared" ca="1" si="17"/>
        <v>3179000</v>
      </c>
      <c r="N26" s="47">
        <f t="shared" ca="1" si="17"/>
        <v>3152632.01</v>
      </c>
      <c r="O26" s="47">
        <f t="shared" ca="1" si="1"/>
        <v>88.557078932584275</v>
      </c>
      <c r="P26" s="47">
        <f t="shared" ca="1" si="2"/>
        <v>99.1705570934256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6497420</v>
      </c>
      <c r="M40" s="594">
        <f t="shared" ca="1" si="18"/>
        <v>6745632.7199999997</v>
      </c>
      <c r="N40" s="594">
        <f t="shared" ca="1" si="18"/>
        <v>6512765.25</v>
      </c>
      <c r="O40" s="594">
        <f ca="1">IF(L40&gt;0,N40*100/L40,0)</f>
        <v>100.2361745123449</v>
      </c>
      <c r="P40" s="594">
        <f ca="1">IF(M40&gt;0,N40*100/M40,0)</f>
        <v>96.547878017289975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628000</v>
      </c>
      <c r="M44" s="79">
        <f t="shared" ca="1" si="19"/>
        <v>774815.72</v>
      </c>
      <c r="N44" s="79">
        <f t="shared" ca="1" si="19"/>
        <v>759815.72</v>
      </c>
      <c r="O44" s="79">
        <f t="shared" ref="O44:O52" ca="1" si="20">IF(L44&gt;0,N44*100/L44,0)</f>
        <v>120.9897643312102</v>
      </c>
      <c r="P44" s="79">
        <f t="shared" ref="P44:P52" ca="1" si="21">IF(M44&gt;0,N44*100/M44,0)</f>
        <v>98.06405579897114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628000</v>
      </c>
      <c r="M46" s="83">
        <f t="shared" ca="1" si="25"/>
        <v>774815.72</v>
      </c>
      <c r="N46" s="83">
        <f t="shared" ca="1" si="25"/>
        <v>759815.72</v>
      </c>
      <c r="O46" s="83">
        <f t="shared" ca="1" si="20"/>
        <v>120.9897643312102</v>
      </c>
      <c r="P46" s="83">
        <f t="shared" ca="1" si="21"/>
        <v>98.06405579897114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628000</v>
      </c>
      <c r="M47" s="47">
        <f t="shared" ca="1" si="27"/>
        <v>774815.72</v>
      </c>
      <c r="N47" s="47">
        <f t="shared" ca="1" si="27"/>
        <v>759815.72</v>
      </c>
      <c r="O47" s="47">
        <f t="shared" ca="1" si="20"/>
        <v>120.9897643312102</v>
      </c>
      <c r="P47" s="47">
        <f t="shared" ca="1" si="21"/>
        <v>98.06405579897114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IFERROR(__xludf.DUMMYFUNCTION("IMPORTRANGE(""https://docs.google.com/spreadsheets/d/1-uDff_7J0KD5mKrp0Vvzr7lt3OU09vwQwhkpOPPYv2Y/edit?usp=sharing"",""งบพรบ!V78"")"),774815.72)</f>
        <v>774815.72</v>
      </c>
      <c r="N49" s="47">
        <f ca="1">IFERROR(__xludf.DUMMYFUNCTION("IMPORTRANGE(""https://docs.google.com/spreadsheets/d/1-uDff_7J0KD5mKrp0Vvzr7lt3OU09vwQwhkpOPPYv2Y/edit?usp=sharing"",""งบพรบ!Y78"")"),759815.72)</f>
        <v>759815.72</v>
      </c>
      <c r="O49" s="47">
        <f t="shared" ca="1" si="20"/>
        <v>120.9897643312102</v>
      </c>
      <c r="P49" s="47">
        <f t="shared" ca="1" si="21"/>
        <v>98.06405579897114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4319200</v>
      </c>
      <c r="M59" s="106">
        <f t="shared" ca="1" si="31"/>
        <v>4168492</v>
      </c>
      <c r="N59" s="106">
        <f t="shared" ca="1" si="31"/>
        <v>4094188.96</v>
      </c>
      <c r="O59" s="106">
        <f t="shared" ref="O59:O67" ca="1" si="32">IF(L59&gt;0,N59*100/L59,0)</f>
        <v>94.790446378959061</v>
      </c>
      <c r="P59" s="106">
        <f t="shared" ref="P59:P67" ca="1" si="33">IF(M59&gt;0,N59*100/M59,0)</f>
        <v>98.21750791413298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4319200</v>
      </c>
      <c r="M61" s="109">
        <f t="shared" ca="1" si="37"/>
        <v>4168492</v>
      </c>
      <c r="N61" s="109">
        <f t="shared" ca="1" si="37"/>
        <v>4094188.96</v>
      </c>
      <c r="O61" s="109">
        <f t="shared" ca="1" si="32"/>
        <v>94.790446378959061</v>
      </c>
      <c r="P61" s="109">
        <f t="shared" ca="1" si="33"/>
        <v>98.21750791413298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759200</v>
      </c>
      <c r="M62" s="47">
        <f t="shared" ca="1" si="39"/>
        <v>989492</v>
      </c>
      <c r="N62" s="47">
        <f t="shared" ca="1" si="39"/>
        <v>941556.95</v>
      </c>
      <c r="O62" s="47">
        <f t="shared" ca="1" si="32"/>
        <v>124.01961933614331</v>
      </c>
      <c r="P62" s="47">
        <f t="shared" ca="1" si="33"/>
        <v>95.155589939079846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IFERROR(__xludf.DUMMYFUNCTION("IMPORTRANGE(""https://docs.google.com/spreadsheets/d/1-uDff_7J0KD5mKrp0Vvzr7lt3OU09vwQwhkpOPPYv2Y/edit?usp=sharing"",""งบพรบ!AH78"")"),989492)</f>
        <v>989492</v>
      </c>
      <c r="N64" s="47">
        <f ca="1">IFERROR(__xludf.DUMMYFUNCTION("IMPORTRANGE(""https://docs.google.com/spreadsheets/d/1-uDff_7J0KD5mKrp0Vvzr7lt3OU09vwQwhkpOPPYv2Y/edit?usp=sharing"",""งบพรบ!AJ78"")"),941556.95)</f>
        <v>941556.95</v>
      </c>
      <c r="O64" s="47">
        <f t="shared" ca="1" si="32"/>
        <v>124.01961933614331</v>
      </c>
      <c r="P64" s="47">
        <f t="shared" ca="1" si="33"/>
        <v>95.155589939079846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3560000</v>
      </c>
      <c r="M65" s="47">
        <f t="shared" ca="1" si="41"/>
        <v>3179000</v>
      </c>
      <c r="N65" s="47">
        <f t="shared" ca="1" si="41"/>
        <v>3152632.01</v>
      </c>
      <c r="O65" s="47">
        <f t="shared" ca="1" si="32"/>
        <v>88.557078932584275</v>
      </c>
      <c r="P65" s="47">
        <f t="shared" ca="1" si="33"/>
        <v>99.1705570934256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IFERROR(__xludf.DUMMYFUNCTION("IMPORTRANGE(""https://docs.google.com/spreadsheets/d/1-uDff_7J0KD5mKrp0Vvzr7lt3OU09vwQwhkpOPPYv2Y/edit?usp=sharing"",""งบพรบ!AI78"")"),3179000)</f>
        <v>3179000</v>
      </c>
      <c r="N67" s="111">
        <f ca="1">IFERROR(__xludf.DUMMYFUNCTION("IMPORTRANGE(""https://docs.google.com/spreadsheets/d/1-uDff_7J0KD5mKrp0Vvzr7lt3OU09vwQwhkpOPPYv2Y/edit?usp=sharing"",""งบพรบ!AK78"")"),3152632.01)</f>
        <v>3152632.01</v>
      </c>
      <c r="O67" s="111">
        <f t="shared" ca="1" si="32"/>
        <v>88.557078932584275</v>
      </c>
      <c r="P67" s="111">
        <f t="shared" ca="1" si="33"/>
        <v>99.1705570934256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IFERROR(__xludf.DUMMYFUNCTION("IMPORTRANGE(""https://docs.google.com/spreadsheets/d/1eHaY18a8A9IcSdp1K8H6x8fbOy06t2VsZHhMHf-1x7Y/edit?usp=sharing"",""แผน!H78"")"),0)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IFERROR(__xludf.DUMMYFUNCTION("IMPORTRANGE(""https://docs.google.com/spreadsheets/d/1eHaY18a8A9IcSdp1K8H6x8fbOy06t2VsZHhMHf-1x7Y/edit?usp=sharing"",""แผน!I78"")"),0)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IFERROR(__xludf.DUMMYFUNCTION("IMPORTRANGE(""https://docs.google.com/spreadsheets/d/1eHaY18a8A9IcSdp1K8H6x8fbOy06t2VsZHhMHf-1x7Y/edit?usp=sharing"",""แผน!F78"")"),0)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IFERROR(__xludf.DUMMYFUNCTION("IMPORTRANGE(""https://docs.google.com/spreadsheets/d/1eHaY18a8A9IcSdp1K8H6x8fbOy06t2VsZHhMHf-1x7Y/edit?usp=sharing"",""แผน!G78"")"),0)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IFERROR(__xludf.DUMMYFUNCTION("IMPORTRANGE(""https://docs.google.com/spreadsheets/d/1eHaY18a8A9IcSdp1K8H6x8fbOy06t2VsZHhMHf-1x7Y/edit?usp=sharing"",""แผน!D78"")"),0)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IFERROR(__xludf.DUMMYFUNCTION("IMPORTRANGE(""https://docs.google.com/spreadsheets/d/1eHaY18a8A9IcSdp1K8H6x8fbOy06t2VsZHhMHf-1x7Y/edit?usp=sharing"",""แผน!E78"")"),0)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IFERROR(__xludf.DUMMYFUNCTION("IMPORTRANGE(""https://docs.google.com/spreadsheets/d/1eHaY18a8A9IcSdp1K8H6x8fbOy06t2VsZHhMHf-1x7Y/edit?usp=sharing"",""แผน!J78"")"),0)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IFERROR(__xludf.DUMMYFUNCTION("IMPORTRANGE(""https://docs.google.com/spreadsheets/d/1eHaY18a8A9IcSdp1K8H6x8fbOy06t2VsZHhMHf-1x7Y/edit?usp=sharing"",""แผน!N78"")"),0)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IFERROR(__xludf.DUMMYFUNCTION("IMPORTRANGE(""https://docs.google.com/spreadsheets/d/1eHaY18a8A9IcSdp1K8H6x8fbOy06t2VsZHhMHf-1x7Y/edit?usp=sharing"",""แผน!O78"")"),0)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IFERROR(__xludf.DUMMYFUNCTION("IMPORTRANGE(""https://docs.google.com/spreadsheets/d/1eHaY18a8A9IcSdp1K8H6x8fbOy06t2VsZHhMHf-1x7Y/edit?usp=sharing"",""แผน!R78"")"),0)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20</v>
      </c>
      <c r="J116" s="128">
        <f t="shared" si="74"/>
        <v>20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0</v>
      </c>
      <c r="M117" s="133">
        <f t="shared" ca="1" si="75"/>
        <v>0</v>
      </c>
      <c r="N117" s="133">
        <f t="shared" ca="1" si="75"/>
        <v>0</v>
      </c>
      <c r="O117" s="133">
        <f t="shared" ref="O117:O125" ca="1" si="76">IF(L117&gt;0,N117*100/L117,0)</f>
        <v>0</v>
      </c>
      <c r="P117" s="133">
        <f t="shared" ref="P117:P125" ca="1" si="77">IF(M117&gt;0,N117*100/M117,0)</f>
        <v>0</v>
      </c>
      <c r="Q117" s="133">
        <f t="shared" ref="Q117:S117" ca="1" si="78">Q118+Q119</f>
        <v>209360</v>
      </c>
      <c r="R117" s="133">
        <f t="shared" ca="1" si="78"/>
        <v>209360</v>
      </c>
      <c r="S117" s="133">
        <f t="shared" ca="1" si="78"/>
        <v>159561</v>
      </c>
      <c r="T117" s="133">
        <f t="shared" ref="T117:T125" ca="1" si="79">IF(Q117&gt;0,S117*100/Q117,0)</f>
        <v>76.213698891860915</v>
      </c>
      <c r="U117" s="133">
        <f t="shared" ref="U117:U125" ca="1" si="80">IF(R117&gt;0,S117*100/R117,0)</f>
        <v>76.213698891860915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0</v>
      </c>
      <c r="M119" s="47">
        <f t="shared" ca="1" si="81"/>
        <v>0</v>
      </c>
      <c r="N119" s="47">
        <f t="shared" ca="1" si="81"/>
        <v>0</v>
      </c>
      <c r="O119" s="47">
        <f t="shared" ca="1" si="76"/>
        <v>0</v>
      </c>
      <c r="P119" s="47">
        <f t="shared" ca="1" si="77"/>
        <v>0</v>
      </c>
      <c r="Q119" s="47">
        <f t="shared" ca="1" si="82"/>
        <v>209360</v>
      </c>
      <c r="R119" s="47">
        <f t="shared" ca="1" si="82"/>
        <v>209360</v>
      </c>
      <c r="S119" s="47">
        <f t="shared" ca="1" si="82"/>
        <v>159561</v>
      </c>
      <c r="T119" s="47">
        <f t="shared" ca="1" si="79"/>
        <v>76.213698891860915</v>
      </c>
      <c r="U119" s="47">
        <f t="shared" ca="1" si="80"/>
        <v>76.213698891860915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209360</v>
      </c>
      <c r="R120" s="47">
        <f t="shared" ca="1" si="84"/>
        <v>209360</v>
      </c>
      <c r="S120" s="47">
        <f t="shared" ca="1" si="84"/>
        <v>159561</v>
      </c>
      <c r="T120" s="47">
        <f t="shared" ca="1" si="79"/>
        <v>76.213698891860915</v>
      </c>
      <c r="U120" s="47">
        <f t="shared" ca="1" si="80"/>
        <v>76.213698891860915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IFERROR(__xludf.DUMMYFUNCTION("IMPORTRANGE(""https://docs.google.com/spreadsheets/d/1ItG2mGa2ceCfYo0BwxsXqNm01IGEUdYcSSLTEv9YCik/edit?usp=sharing"",""เบิกจ่ายกองทุน!W78"")"),159561)</f>
        <v>159561</v>
      </c>
      <c r="T122" s="47">
        <f t="shared" ca="1" si="79"/>
        <v>76.213698891860915</v>
      </c>
      <c r="U122" s="47">
        <f t="shared" ca="1" si="80"/>
        <v>76.213698891860915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0</v>
      </c>
      <c r="M123" s="47">
        <f t="shared" ca="1" si="85"/>
        <v>0</v>
      </c>
      <c r="N123" s="47">
        <f t="shared" ca="1" si="85"/>
        <v>0</v>
      </c>
      <c r="O123" s="47">
        <f t="shared" ca="1" si="76"/>
        <v>0</v>
      </c>
      <c r="P123" s="47">
        <f t="shared" ca="1" si="77"/>
        <v>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t="shared" ca="1" si="76"/>
        <v>0</v>
      </c>
      <c r="P125" s="47">
        <f t="shared" ca="1" si="77"/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IFERROR(__xludf.DUMMYFUNCTION("IMPORTRANGE(""https://docs.google.com/spreadsheets/d/1eHaY18a8A9IcSdp1K8H6x8fbOy06t2VsZHhMHf-1x7Y/edit?usp=sharing"",""แผน!FF78"")"),20)</f>
        <v>20</v>
      </c>
      <c r="J127" s="169">
        <v>20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IFERROR(__xludf.DUMMYFUNCTION("IMPORTRANGE(""https://docs.google.com/spreadsheets/d/1eHaY18a8A9IcSdp1K8H6x8fbOy06t2VsZHhMHf-1x7Y/edit?usp=sharing"",""แผน!FG78"")"),1)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IFERROR(__xludf.DUMMYFUNCTION("IMPORTRANGE(""https://docs.google.com/spreadsheets/d/1eHaY18a8A9IcSdp1K8H6x8fbOy06t2VsZHhMHf-1x7Y/edit?usp=sharing"",""แผน!FH78"")"),20)</f>
        <v>20</v>
      </c>
      <c r="J129" s="169">
        <v>20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IFERROR(__xludf.DUMMYFUNCTION("IMPORTRANGE(""https://docs.google.com/spreadsheets/d/1eHaY18a8A9IcSdp1K8H6x8fbOy06t2VsZHhMHf-1x7Y/edit?usp=sharing"",""แผน!FI78"")"),1)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40</v>
      </c>
      <c r="J137" s="128">
        <f t="shared" si="90"/>
        <v>40</v>
      </c>
      <c r="K137" s="35">
        <f t="shared" ca="1" si="89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4</v>
      </c>
      <c r="J138" s="128">
        <f t="shared" si="90"/>
        <v>4</v>
      </c>
      <c r="K138" s="35">
        <f t="shared" ca="1" si="89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135400</v>
      </c>
      <c r="M139" s="133">
        <f t="shared" ca="1" si="91"/>
        <v>130400</v>
      </c>
      <c r="N139" s="133">
        <f t="shared" ca="1" si="91"/>
        <v>108921</v>
      </c>
      <c r="O139" s="133">
        <f t="shared" ref="O139:O147" ca="1" si="92">IF(L139&gt;0,N139*100/L139,0)</f>
        <v>80.443870014771051</v>
      </c>
      <c r="P139" s="133">
        <f t="shared" ref="P139:P147" ca="1" si="93">IF(M139&gt;0,N139*100/M139,0)</f>
        <v>83.528374233128829</v>
      </c>
      <c r="Q139" s="133">
        <f t="shared" ref="Q139:S139" ca="1" si="94">Q140+Q141</f>
        <v>44860</v>
      </c>
      <c r="R139" s="133">
        <f t="shared" ca="1" si="94"/>
        <v>44860</v>
      </c>
      <c r="S139" s="133">
        <f t="shared" ca="1" si="94"/>
        <v>22930</v>
      </c>
      <c r="T139" s="133">
        <f t="shared" ref="T139:T147" ca="1" si="95">IF(Q139&gt;0,S139*100/Q139,0)</f>
        <v>51.11457868925546</v>
      </c>
      <c r="U139" s="133">
        <f t="shared" ref="U139:U147" ca="1" si="96">IF(R139&gt;0,S139*100/R139,0)</f>
        <v>51.11457868925546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135400</v>
      </c>
      <c r="M141" s="47">
        <f t="shared" ca="1" si="97"/>
        <v>130400</v>
      </c>
      <c r="N141" s="47">
        <f t="shared" ca="1" si="97"/>
        <v>108921</v>
      </c>
      <c r="O141" s="47">
        <f t="shared" ca="1" si="92"/>
        <v>80.443870014771051</v>
      </c>
      <c r="P141" s="47">
        <f t="shared" ca="1" si="93"/>
        <v>83.528374233128829</v>
      </c>
      <c r="Q141" s="47">
        <f t="shared" ca="1" si="98"/>
        <v>44860</v>
      </c>
      <c r="R141" s="47">
        <f t="shared" ca="1" si="98"/>
        <v>44860</v>
      </c>
      <c r="S141" s="47">
        <f t="shared" ca="1" si="98"/>
        <v>22930</v>
      </c>
      <c r="T141" s="47">
        <f t="shared" ca="1" si="95"/>
        <v>51.11457868925546</v>
      </c>
      <c r="U141" s="47">
        <f t="shared" ca="1" si="96"/>
        <v>51.11457868925546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135400</v>
      </c>
      <c r="M142" s="47">
        <f t="shared" ca="1" si="99"/>
        <v>130400</v>
      </c>
      <c r="N142" s="47">
        <f t="shared" ca="1" si="99"/>
        <v>108921</v>
      </c>
      <c r="O142" s="47">
        <f t="shared" ca="1" si="92"/>
        <v>80.443870014771051</v>
      </c>
      <c r="P142" s="47">
        <f t="shared" ca="1" si="93"/>
        <v>83.528374233128829</v>
      </c>
      <c r="Q142" s="47">
        <f t="shared" ref="Q142:S142" ca="1" si="100">Q143+Q144</f>
        <v>44860</v>
      </c>
      <c r="R142" s="47">
        <f t="shared" ca="1" si="100"/>
        <v>44860</v>
      </c>
      <c r="S142" s="47">
        <f t="shared" ca="1" si="100"/>
        <v>22930</v>
      </c>
      <c r="T142" s="47">
        <f t="shared" ca="1" si="95"/>
        <v>51.11457868925546</v>
      </c>
      <c r="U142" s="47">
        <f t="shared" ca="1" si="96"/>
        <v>51.11457868925546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IFERROR(__xludf.DUMMYFUNCTION("IMPORTRANGE(""https://docs.google.com/spreadsheets/d/1-uDff_7J0KD5mKrp0Vvzr7lt3OU09vwQwhkpOPPYv2Y/edit?usp=sharing"",""งบพรบ!BX78"")"),108921)</f>
        <v>108921</v>
      </c>
      <c r="O144" s="47">
        <f t="shared" ca="1" si="92"/>
        <v>80.443870014771051</v>
      </c>
      <c r="P144" s="47">
        <f t="shared" ca="1" si="93"/>
        <v>83.528374233128829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IFERROR(__xludf.DUMMYFUNCTION("IMPORTRANGE(""https://docs.google.com/spreadsheets/d/1ItG2mGa2ceCfYo0BwxsXqNm01IGEUdYcSSLTEv9YCik/edit?usp=sharing"",""เบิกจ่ายกองทุน!CH78"")"),22930)</f>
        <v>22930</v>
      </c>
      <c r="T144" s="47">
        <f t="shared" ca="1" si="95"/>
        <v>51.11457868925546</v>
      </c>
      <c r="U144" s="47">
        <f t="shared" ca="1" si="96"/>
        <v>51.11457868925546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t="shared" ca="1" si="95"/>
        <v>0</v>
      </c>
      <c r="U147" s="47">
        <f t="shared" ca="1" si="96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IFERROR(__xludf.DUMMYFUNCTION("IMPORTRANGE(""https://docs.google.com/spreadsheets/d/1eHaY18a8A9IcSdp1K8H6x8fbOy06t2VsZHhMHf-1x7Y/edit?usp=sharing"",""แผน!U78"")"),0)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IFERROR(__xludf.DUMMYFUNCTION("IMPORTRANGE(""https://docs.google.com/spreadsheets/d/1eHaY18a8A9IcSdp1K8H6x8fbOy06t2VsZHhMHf-1x7Y/edit?usp=sharing"",""แผน!V78"")"),0)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IFERROR(__xludf.DUMMYFUNCTION("IMPORTRANGE(""https://docs.google.com/spreadsheets/d/1eHaY18a8A9IcSdp1K8H6x8fbOy06t2VsZHhMHf-1x7Y/edit?usp=sharing"",""แผน!W78"")"),40)</f>
        <v>40</v>
      </c>
      <c r="J152" s="169">
        <v>40</v>
      </c>
      <c r="K152" s="47">
        <f t="shared" ca="1" si="103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IFERROR(__xludf.DUMMYFUNCTION("IMPORTRANGE(""https://docs.google.com/spreadsheets/d/1eHaY18a8A9IcSdp1K8H6x8fbOy06t2VsZHhMHf-1x7Y/edit?usp=sharing"",""แผน!X78"")"),4)</f>
        <v>4</v>
      </c>
      <c r="J153" s="169">
        <v>4</v>
      </c>
      <c r="K153" s="47">
        <f t="shared" ca="1" si="103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IFERROR(__xludf.DUMMYFUNCTION("IMPORTRANGE(""https://docs.google.com/spreadsheets/d/1eHaY18a8A9IcSdp1K8H6x8fbOy06t2VsZHhMHf-1x7Y/edit?usp=sharing"",""แผน!Y78"")"),0)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IFERROR(__xludf.DUMMYFUNCTION("IMPORTRANGE(""https://docs.google.com/spreadsheets/d/1eHaY18a8A9IcSdp1K8H6x8fbOy06t2VsZHhMHf-1x7Y/edit?usp=sharing"",""แผน!Z78"")"),0)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IFERROR(__xludf.DUMMYFUNCTION("IMPORTRANGE(""https://docs.google.com/spreadsheets/d/1eHaY18a8A9IcSdp1K8H6x8fbOy06t2VsZHhMHf-1x7Y/edit?usp=sharing"",""แผน!Z78"")"),0)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IFERROR(__xludf.DUMMYFUNCTION("IMPORTRANGE(""https://docs.google.com/spreadsheets/d/1eHaY18a8A9IcSdp1K8H6x8fbOy06t2VsZHhMHf-1x7Y/edit?usp=sharing"",""แผน!Z78"")"),0)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14</v>
      </c>
      <c r="J172" s="222">
        <f t="shared" si="118"/>
        <v>14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36520</v>
      </c>
      <c r="N173" s="133">
        <f t="shared" ca="1" si="119"/>
        <v>36520</v>
      </c>
      <c r="O173" s="133">
        <f t="shared" ref="O173:O181" ca="1" si="120">IF(L173&gt;0,N173*100/L173,0)</f>
        <v>186.42164369576315</v>
      </c>
      <c r="P173" s="133">
        <f t="shared" ref="P173:P181" ca="1" si="121">IF(M173&gt;0,N173*100/M173,0)</f>
        <v>100</v>
      </c>
      <c r="Q173" s="133">
        <f t="shared" ref="Q173:S173" ca="1" si="122">Q174+Q175</f>
        <v>20320</v>
      </c>
      <c r="R173" s="133">
        <f t="shared" ca="1" si="122"/>
        <v>20320</v>
      </c>
      <c r="S173" s="133">
        <f t="shared" ca="1" si="122"/>
        <v>20320</v>
      </c>
      <c r="T173" s="133">
        <f t="shared" ref="T173:T181" ca="1" si="123">IF(Q173&gt;0,S173*100/Q173,0)</f>
        <v>100</v>
      </c>
      <c r="U173" s="133">
        <f t="shared" ref="U173:U181" ca="1" si="124">IF(R173&gt;0,S173*100/R173,0)</f>
        <v>100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36520</v>
      </c>
      <c r="N175" s="47">
        <f t="shared" ca="1" si="125"/>
        <v>36520</v>
      </c>
      <c r="O175" s="47">
        <f t="shared" ca="1" si="120"/>
        <v>186.42164369576315</v>
      </c>
      <c r="P175" s="47">
        <f t="shared" ca="1" si="121"/>
        <v>100</v>
      </c>
      <c r="Q175" s="47">
        <f t="shared" ca="1" si="126"/>
        <v>20320</v>
      </c>
      <c r="R175" s="47">
        <f t="shared" ca="1" si="126"/>
        <v>20320</v>
      </c>
      <c r="S175" s="47">
        <f t="shared" ca="1" si="126"/>
        <v>20320</v>
      </c>
      <c r="T175" s="47">
        <f t="shared" ca="1" si="123"/>
        <v>100</v>
      </c>
      <c r="U175" s="47">
        <f t="shared" ca="1" si="124"/>
        <v>100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36520</v>
      </c>
      <c r="N176" s="47">
        <f t="shared" ca="1" si="127"/>
        <v>36520</v>
      </c>
      <c r="O176" s="47">
        <f t="shared" ca="1" si="120"/>
        <v>186.42164369576315</v>
      </c>
      <c r="P176" s="47">
        <f t="shared" ca="1" si="121"/>
        <v>100</v>
      </c>
      <c r="Q176" s="47">
        <f t="shared" ref="Q176:S176" ca="1" si="128">Q177+Q178</f>
        <v>20320</v>
      </c>
      <c r="R176" s="47">
        <f t="shared" ca="1" si="128"/>
        <v>20320</v>
      </c>
      <c r="S176" s="47">
        <f t="shared" ca="1" si="128"/>
        <v>20320</v>
      </c>
      <c r="T176" s="47">
        <f t="shared" ca="1" si="123"/>
        <v>100</v>
      </c>
      <c r="U176" s="47">
        <f t="shared" ca="1" si="124"/>
        <v>100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IFERROR(__xludf.DUMMYFUNCTION("IMPORTRANGE(""https://docs.google.com/spreadsheets/d/1-uDff_7J0KD5mKrp0Vvzr7lt3OU09vwQwhkpOPPYv2Y/edit?usp=sharing"",""งบพรบ!CR78"")"),36520)</f>
        <v>36520</v>
      </c>
      <c r="O178" s="47">
        <f t="shared" ca="1" si="120"/>
        <v>186.42164369576315</v>
      </c>
      <c r="P178" s="47">
        <f t="shared" ca="1" si="121"/>
        <v>100</v>
      </c>
      <c r="Q178" s="47">
        <f ca="1">IFERROR(__xludf.DUMMYFUNCTION("IMPORTRANGE(""https://docs.google.com/spreadsheets/d/1ItG2mGa2ceCfYo0BwxsXqNm01IGEUdYcSSLTEv9YCik/edit?usp=sharing"",""เบิกจ่ายกองทุน!DG78"")"),20320)</f>
        <v>20320</v>
      </c>
      <c r="R178" s="47">
        <f ca="1">IFERROR(__xludf.DUMMYFUNCTION("IMPORTRANGE(""https://docs.google.com/spreadsheets/d/1ItG2mGa2ceCfYo0BwxsXqNm01IGEUdYcSSLTEv9YCik/edit?usp=sharing"",""เบิกจ่ายกองทุน!DH78"")"),20320)</f>
        <v>20320</v>
      </c>
      <c r="S178" s="47">
        <f ca="1">IFERROR(__xludf.DUMMYFUNCTION("IMPORTRANGE(""https://docs.google.com/spreadsheets/d/1ItG2mGa2ceCfYo0BwxsXqNm01IGEUdYcSSLTEv9YCik/edit?usp=sharing"",""เบิกจ่ายกองทุน!DI78"")"),20320)</f>
        <v>20320</v>
      </c>
      <c r="T178" s="47">
        <f t="shared" ca="1" si="123"/>
        <v>100</v>
      </c>
      <c r="U178" s="47">
        <f t="shared" ca="1" si="124"/>
        <v>100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IFERROR(__xludf.DUMMYFUNCTION("IMPORTRANGE(""https://docs.google.com/spreadsheets/d/1eHaY18a8A9IcSdp1K8H6x8fbOy06t2VsZHhMHf-1x7Y/edit?usp=sharing"",""แผน!AA78"")"),14)</f>
        <v>14</v>
      </c>
      <c r="J183" s="169">
        <v>14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110</v>
      </c>
      <c r="J185" s="222">
        <f t="shared" si="132"/>
        <v>113</v>
      </c>
      <c r="K185" s="223">
        <f t="shared" ca="1" si="131"/>
        <v>102.72727272727273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456100</v>
      </c>
      <c r="M186" s="133">
        <f t="shared" ca="1" si="133"/>
        <v>470000</v>
      </c>
      <c r="N186" s="133">
        <f t="shared" ca="1" si="133"/>
        <v>433609.41</v>
      </c>
      <c r="O186" s="133">
        <f t="shared" ref="O186:O194" ca="1" si="134">IF(L186&gt;0,N186*100/L186,0)</f>
        <v>95.068934444200835</v>
      </c>
      <c r="P186" s="133">
        <f t="shared" ref="P186:P194" ca="1" si="135">IF(M186&gt;0,N186*100/M186,0)</f>
        <v>92.257321276595746</v>
      </c>
      <c r="Q186" s="133">
        <f t="shared" ref="Q186:S186" ca="1" si="136">Q187+Q188</f>
        <v>141400</v>
      </c>
      <c r="R186" s="133">
        <f t="shared" ca="1" si="136"/>
        <v>141400</v>
      </c>
      <c r="S186" s="133">
        <f t="shared" ca="1" si="136"/>
        <v>0</v>
      </c>
      <c r="T186" s="133">
        <f t="shared" ref="T186:T194" ca="1" si="137">IF(Q186&gt;0,S186*100/Q186,0)</f>
        <v>0</v>
      </c>
      <c r="U186" s="133">
        <f t="shared" ref="U186:U194" ca="1" si="138">IF(R186&gt;0,S186*100/R186,0)</f>
        <v>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456100</v>
      </c>
      <c r="M188" s="47">
        <f t="shared" ca="1" si="139"/>
        <v>470000</v>
      </c>
      <c r="N188" s="47">
        <f t="shared" ca="1" si="139"/>
        <v>433609.41</v>
      </c>
      <c r="O188" s="47">
        <f t="shared" ca="1" si="134"/>
        <v>95.068934444200835</v>
      </c>
      <c r="P188" s="47">
        <f t="shared" ca="1" si="135"/>
        <v>92.257321276595746</v>
      </c>
      <c r="Q188" s="47">
        <f t="shared" ca="1" si="140"/>
        <v>141400</v>
      </c>
      <c r="R188" s="47">
        <f t="shared" ca="1" si="140"/>
        <v>141400</v>
      </c>
      <c r="S188" s="47">
        <f t="shared" ca="1" si="140"/>
        <v>0</v>
      </c>
      <c r="T188" s="47">
        <f t="shared" ca="1" si="137"/>
        <v>0</v>
      </c>
      <c r="U188" s="47">
        <f t="shared" ca="1" si="138"/>
        <v>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456100</v>
      </c>
      <c r="M189" s="47">
        <f t="shared" ca="1" si="141"/>
        <v>470000</v>
      </c>
      <c r="N189" s="47">
        <f t="shared" ca="1" si="141"/>
        <v>433609.41</v>
      </c>
      <c r="O189" s="47">
        <f t="shared" ca="1" si="134"/>
        <v>95.068934444200835</v>
      </c>
      <c r="P189" s="47">
        <f t="shared" ca="1" si="135"/>
        <v>92.257321276595746</v>
      </c>
      <c r="Q189" s="47">
        <f t="shared" ref="Q189:S189" ca="1" si="142">Q190+Q191</f>
        <v>141400</v>
      </c>
      <c r="R189" s="47">
        <f t="shared" ca="1" si="142"/>
        <v>141400</v>
      </c>
      <c r="S189" s="47">
        <f t="shared" ca="1" si="142"/>
        <v>0</v>
      </c>
      <c r="T189" s="47">
        <f t="shared" ca="1" si="137"/>
        <v>0</v>
      </c>
      <c r="U189" s="47">
        <f t="shared" ca="1" si="138"/>
        <v>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IFERROR(__xludf.DUMMYFUNCTION("IMPORTRANGE(""https://docs.google.com/spreadsheets/d/1-uDff_7J0KD5mKrp0Vvzr7lt3OU09vwQwhkpOPPYv2Y/edit?usp=sharing"",""งบพรบ!CZ78"")"),470000)</f>
        <v>470000</v>
      </c>
      <c r="N191" s="47">
        <f ca="1">IFERROR(__xludf.DUMMYFUNCTION("IMPORTRANGE(""https://docs.google.com/spreadsheets/d/1-uDff_7J0KD5mKrp0Vvzr7lt3OU09vwQwhkpOPPYv2Y/edit?usp=sharing"",""งบพรบ!DB78"")"),433609.41)</f>
        <v>433609.41</v>
      </c>
      <c r="O191" s="47">
        <f t="shared" ca="1" si="134"/>
        <v>95.068934444200835</v>
      </c>
      <c r="P191" s="47">
        <f t="shared" ca="1" si="135"/>
        <v>92.257321276595746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t="shared" ca="1" si="137"/>
        <v>0</v>
      </c>
      <c r="U191" s="47">
        <f t="shared" ca="1" si="138"/>
        <v>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636">
        <f>940+1000+1260+1200+1600</f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IFERROR(__xludf.DUMMYFUNCTION("IMPORTRANGE(""https://docs.google.com/spreadsheets/d/1eHaY18a8A9IcSdp1K8H6x8fbOy06t2VsZHhMHf-1x7Y/edit?usp=sharing"",""แผน!AE78"")"),4)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180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f>50+48+36+46</f>
        <v>180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3</v>
      </c>
      <c r="J202" s="236">
        <f t="shared" si="146"/>
        <v>3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20000</v>
      </c>
      <c r="M203" s="46"/>
      <c r="N203" s="133">
        <f>N204+N205+N206+N207</f>
        <v>0</v>
      </c>
      <c r="O203" s="133">
        <f ca="1">IF(L203&gt;0,N203*100/L203,0)</f>
        <v>0</v>
      </c>
      <c r="P203" s="133">
        <f>IF(M203&gt;0,N203*100/M203,0)</f>
        <v>0</v>
      </c>
      <c r="Q203" s="637">
        <f ca="1">Q204+Q205+Q206+Q207</f>
        <v>42000</v>
      </c>
      <c r="R203" s="180"/>
      <c r="S203" s="638">
        <f>S204+S205+S206+S207</f>
        <v>0</v>
      </c>
      <c r="T203" s="638">
        <f ca="1">IF(Q203&gt;0,S203*100/Q203,0)</f>
        <v>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IFERROR(__xludf.DUMMYFUNCTION("IMPORTRANGE(""https://docs.google.com/spreadsheets/d/1eHaY18a8A9IcSdp1K8H6x8fbOy06t2VsZHhMHf-1x7Y/edit?usp=sharing"",""แผน!AG78"")"),3000)</f>
        <v>3000</v>
      </c>
      <c r="M204" s="46"/>
      <c r="N204" s="639">
        <v>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IFERROR(__xludf.DUMMYFUNCTION("IMPORTRANGE(""https://docs.google.com/spreadsheets/d/1eHaY18a8A9IcSdp1K8H6x8fbOy06t2VsZHhMHf-1x7Y/edit?usp=sharing"",""แผน!AH78"")"),0)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IFERROR(__xludf.DUMMYFUNCTION("IMPORTRANGE(""https://docs.google.com/spreadsheets/d/1eHaY18a8A9IcSdp1K8H6x8fbOy06t2VsZHhMHf-1x7Y/edit?usp=sharing"",""แผน!AI78"")"),0)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639">
        <v>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IFERROR(__xludf.DUMMYFUNCTION("IMPORTRANGE(""https://docs.google.com/spreadsheets/d/1eHaY18a8A9IcSdp1K8H6x8fbOy06t2VsZHhMHf-1x7Y/edit?usp=sharing"",""แผน!AJ78"")"),17000)</f>
        <v>17000</v>
      </c>
      <c r="M207" s="46"/>
      <c r="N207" s="639">
        <v>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IFERROR(__xludf.DUMMYFUNCTION("IMPORTRANGE(""https://docs.google.com/spreadsheets/d/1eHaY18a8A9IcSdp1K8H6x8fbOy06t2VsZHhMHf-1x7Y/edit?usp=sharing"",""แผน!AK78"")"),3)</f>
        <v>3</v>
      </c>
      <c r="J209" s="169">
        <v>3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IFERROR(__xludf.DUMMYFUNCTION("IMPORTRANGE(""https://docs.google.com/spreadsheets/d/1eHaY18a8A9IcSdp1K8H6x8fbOy06t2VsZHhMHf-1x7Y/edit?usp=sharing"",""แผน!JX78"")"),3)</f>
        <v>3</v>
      </c>
      <c r="J211" s="169">
        <v>3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IFERROR(__xludf.DUMMYFUNCTION("IMPORTRANGE(""https://docs.google.com/spreadsheets/d/1eHaY18a8A9IcSdp1K8H6x8fbOy06t2VsZHhMHf-1x7Y/edit?usp=sharing"",""แผน!JY78"")"),1)</f>
        <v>1</v>
      </c>
      <c r="J212" s="169">
        <v>1</v>
      </c>
      <c r="K212" s="154">
        <f t="shared" ca="1" si="147"/>
        <v>100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2</v>
      </c>
      <c r="J213" s="236">
        <f t="shared" si="148"/>
        <v>2</v>
      </c>
      <c r="K213" s="237">
        <f t="shared" ca="1" si="147"/>
        <v>100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x14ac:dyDescent="0.3">
      <c r="A214" s="129"/>
      <c r="B214" s="200"/>
      <c r="C214" s="40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12000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99400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IFERROR(__xludf.DUMMYFUNCTION("IMPORTRANGE(""https://docs.google.com/spreadsheets/d/1eHaY18a8A9IcSdp1K8H6x8fbOy06t2VsZHhMHf-1x7Y/edit?usp=sharing"",""แผน!AO78"")"),0)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639">
        <v>0</v>
      </c>
      <c r="T217" s="137"/>
      <c r="U217" s="46"/>
    </row>
    <row r="218" spans="1:21" ht="19.5" x14ac:dyDescent="0.3">
      <c r="A218" s="139"/>
      <c r="B218" s="140"/>
      <c r="C218" s="361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IFERROR(__xludf.DUMMYFUNCTION("IMPORTRANGE(""https://docs.google.com/spreadsheets/d/1eHaY18a8A9IcSdp1K8H6x8fbOy06t2VsZHhMHf-1x7Y/edit?usp=sharing"",""แผน!AP78"")"),2)</f>
        <v>2</v>
      </c>
      <c r="J219" s="169">
        <v>2</v>
      </c>
      <c r="K219" s="47">
        <f t="shared" ref="K219:K221" ca="1" si="149">IF(I219&gt;0,J219*100/I219,0)</f>
        <v>100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IFERROR(__xludf.DUMMYFUNCTION("IMPORTRANGE(""https://docs.google.com/spreadsheets/d/1eHaY18a8A9IcSdp1K8H6x8fbOy06t2VsZHhMHf-1x7Y/edit?usp=sharing"",""แผน!AP78"")"),2)</f>
        <v>2</v>
      </c>
      <c r="J220" s="169">
        <v>2</v>
      </c>
      <c r="K220" s="47">
        <f t="shared" ca="1" si="149"/>
        <v>100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50000</v>
      </c>
      <c r="J221" s="236">
        <f t="shared" si="150"/>
        <v>0</v>
      </c>
      <c r="K221" s="237">
        <f t="shared" ca="1" si="149"/>
        <v>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8500</v>
      </c>
      <c r="M222" s="46"/>
      <c r="N222" s="133">
        <f>N223+N224+N225</f>
        <v>0</v>
      </c>
      <c r="O222" s="133">
        <f ca="1">IF(L222&gt;0,N222*100/L222,0)</f>
        <v>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IFERROR(__xludf.DUMMYFUNCTION("IMPORTRANGE(""https://docs.google.com/spreadsheets/d/1eHaY18a8A9IcSdp1K8H6x8fbOy06t2VsZHhMHf-1x7Y/edit?usp=sharing"",""แผน!AR78"")"),2500)</f>
        <v>2500</v>
      </c>
      <c r="M223" s="46"/>
      <c r="N223" s="639">
        <v>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IFERROR(__xludf.DUMMYFUNCTION("IMPORTRANGE(""https://docs.google.com/spreadsheets/d/1eHaY18a8A9IcSdp1K8H6x8fbOy06t2VsZHhMHf-1x7Y/edit?usp=sharing"",""แผน!AS78"")"),6000)</f>
        <v>6000</v>
      </c>
      <c r="M224" s="46"/>
      <c r="N224" s="639">
        <v>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IFERROR(__xludf.DUMMYFUNCTION("IMPORTRANGE(""https://docs.google.com/spreadsheets/d/1eHaY18a8A9IcSdp1K8H6x8fbOy06t2VsZHhMHf-1x7Y/edit?usp=sharing"",""แผน!AT78"")"),0)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361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IFERROR(__xludf.DUMMYFUNCTION("IMPORTRANGE(""https://docs.google.com/spreadsheets/d/1eHaY18a8A9IcSdp1K8H6x8fbOy06t2VsZHhMHf-1x7Y/edit?usp=sharing"",""แผน!AV78"")"),50000)</f>
        <v>50000</v>
      </c>
      <c r="J228" s="169">
        <v>50000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IFERROR(__xludf.DUMMYFUNCTION("IMPORTRANGE(""https://docs.google.com/spreadsheets/d/1eHaY18a8A9IcSdp1K8H6x8fbOy06t2VsZHhMHf-1x7Y/edit?usp=sharing"",""แผน!AV78"")"),50000)</f>
        <v>50000</v>
      </c>
      <c r="J229" s="169"/>
      <c r="K229" s="154">
        <f t="shared" ca="1" si="151"/>
        <v>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IFERROR(__xludf.DUMMYFUNCTION("IMPORTRANGE(""https://docs.google.com/spreadsheets/d/1eHaY18a8A9IcSdp1K8H6x8fbOy06t2VsZHhMHf-1x7Y/edit?usp=sharing"",""แผน!AU78"")"),0)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110</v>
      </c>
      <c r="J231" s="646">
        <f t="shared" si="152"/>
        <v>113</v>
      </c>
      <c r="K231" s="647">
        <f t="shared" ca="1" si="151"/>
        <v>102.72727272727273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409600</v>
      </c>
      <c r="M232" s="46"/>
      <c r="N232" s="656">
        <f t="shared" ref="N232:N236" si="154">N243+N254</f>
        <v>407394.41000000003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363" t="s">
        <v>305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167000</v>
      </c>
      <c r="M233" s="46"/>
      <c r="N233" s="49">
        <f t="shared" si="154"/>
        <v>31526.400000000001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511" t="s">
        <v>87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10000</v>
      </c>
      <c r="M234" s="46"/>
      <c r="N234" s="49">
        <f t="shared" si="154"/>
        <v>140400.01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511" t="s">
        <v>88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92600</v>
      </c>
      <c r="M235" s="46"/>
      <c r="N235" s="49">
        <f t="shared" si="154"/>
        <v>92703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89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140000</v>
      </c>
      <c r="M236" s="46"/>
      <c r="N236" s="49">
        <f t="shared" si="154"/>
        <v>142765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110</v>
      </c>
      <c r="J238" s="517">
        <f t="shared" si="155"/>
        <v>113</v>
      </c>
      <c r="K238" s="49">
        <f ca="1">IF(I238&gt;0,J238*100/I238,0)</f>
        <v>102.72727272727273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ca="1" si="156">I251+I262</f>
        <v>40</v>
      </c>
      <c r="J240" s="517">
        <f t="shared" si="156"/>
        <v>110</v>
      </c>
      <c r="K240" s="49">
        <f t="shared" ref="K240:K242" ca="1" si="157">IF(I240&gt;0,J240*100/I240,0)</f>
        <v>275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ca="1" si="156"/>
        <v>6</v>
      </c>
      <c r="J241" s="517">
        <f t="shared" si="156"/>
        <v>6</v>
      </c>
      <c r="K241" s="49">
        <f t="shared" ca="1" si="157"/>
        <v>100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868"/>
      <c r="B242" s="869"/>
      <c r="C242" s="870" t="s">
        <v>323</v>
      </c>
      <c r="D242" s="871"/>
      <c r="E242" s="871"/>
      <c r="F242" s="871"/>
      <c r="G242" s="872"/>
      <c r="H242" s="873" t="s">
        <v>35</v>
      </c>
      <c r="I242" s="874">
        <f t="shared" ref="I242:J242" ca="1" si="158">I249</f>
        <v>110</v>
      </c>
      <c r="J242" s="874">
        <f t="shared" si="158"/>
        <v>113</v>
      </c>
      <c r="K242" s="875">
        <f t="shared" ca="1" si="157"/>
        <v>102.72727272727273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x14ac:dyDescent="0.3">
      <c r="A243" s="436"/>
      <c r="B243" s="444"/>
      <c r="C243" s="409" t="s">
        <v>18</v>
      </c>
      <c r="D243" s="438" t="s">
        <v>19</v>
      </c>
      <c r="E243" s="444"/>
      <c r="F243" s="444"/>
      <c r="G243" s="445"/>
      <c r="H243" s="439" t="s">
        <v>14</v>
      </c>
      <c r="I243" s="448"/>
      <c r="J243" s="448"/>
      <c r="K243" s="449"/>
      <c r="L243" s="617">
        <f ca="1">L244+L245+L246+L247</f>
        <v>409600</v>
      </c>
      <c r="M243" s="46"/>
      <c r="N243" s="133">
        <f>N244+N245+N246+N247</f>
        <v>407394.41000000003</v>
      </c>
      <c r="O243" s="133">
        <f ca="1">IF(L243&gt;0,N243*100/L243,0)</f>
        <v>99.461525878906244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436"/>
      <c r="B244" s="347"/>
      <c r="C244" s="444"/>
      <c r="D244" s="876" t="s">
        <v>305</v>
      </c>
      <c r="E244" s="444"/>
      <c r="F244" s="444"/>
      <c r="G244" s="445"/>
      <c r="H244" s="446" t="s">
        <v>14</v>
      </c>
      <c r="I244" s="448"/>
      <c r="J244" s="448"/>
      <c r="K244" s="449"/>
      <c r="L244" s="588">
        <f ca="1">IFERROR(__xludf.DUMMYFUNCTION("IMPORTRANGE(""https://docs.google.com/spreadsheets/d/1eHaY18a8A9IcSdp1K8H6x8fbOy06t2VsZHhMHf-1x7Y/edit?usp=sharing"",""แผน!AX78"")"),167000)</f>
        <v>167000</v>
      </c>
      <c r="M244" s="46"/>
      <c r="N244" s="639">
        <f>360+1740+1240+1360+1240+3338.4+1120+1740+200+1740+1820+1858+3040+120+3020+7590</f>
        <v>31526.400000000001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741"/>
      <c r="B245" s="347"/>
      <c r="C245" s="347"/>
      <c r="D245" s="496" t="s">
        <v>306</v>
      </c>
      <c r="E245" s="444"/>
      <c r="F245" s="444"/>
      <c r="G245" s="445"/>
      <c r="H245" s="446" t="s">
        <v>14</v>
      </c>
      <c r="I245" s="440"/>
      <c r="J245" s="440"/>
      <c r="K245" s="353"/>
      <c r="L245" s="588">
        <f ca="1">IFERROR(__xludf.DUMMYFUNCTION("IMPORTRANGE(""https://docs.google.com/spreadsheets/d/1eHaY18a8A9IcSdp1K8H6x8fbOy06t2VsZHhMHf-1x7Y/edit?usp=sharing"",""แผน!AY78"")"),10000)</f>
        <v>10000</v>
      </c>
      <c r="M245" s="46"/>
      <c r="N245" s="639">
        <f>13000+12133.34+13000+13000+13000+12566.67+13000+11700+13000+13000+13000</f>
        <v>140400.01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741"/>
      <c r="B246" s="347"/>
      <c r="C246" s="347"/>
      <c r="D246" s="496" t="s">
        <v>88</v>
      </c>
      <c r="E246" s="444"/>
      <c r="F246" s="444"/>
      <c r="G246" s="445"/>
      <c r="H246" s="446" t="s">
        <v>14</v>
      </c>
      <c r="I246" s="440"/>
      <c r="J246" s="440"/>
      <c r="K246" s="353"/>
      <c r="L246" s="588">
        <f ca="1">IFERROR(__xludf.DUMMYFUNCTION("IMPORTRANGE(""https://docs.google.com/spreadsheets/d/1eHaY18a8A9IcSdp1K8H6x8fbOy06t2VsZHhMHf-1x7Y/edit?usp=sharing"",""แผน!AZ78"")"),92600)</f>
        <v>92600</v>
      </c>
      <c r="M246" s="46"/>
      <c r="N246" s="639">
        <f>39166+1000+4107+3740+3000+900+450+4975+11300+2675+2560+4800+2400+9520+2110</f>
        <v>92703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741"/>
      <c r="B247" s="347"/>
      <c r="C247" s="347"/>
      <c r="D247" s="271" t="s">
        <v>89</v>
      </c>
      <c r="E247" s="444"/>
      <c r="F247" s="444"/>
      <c r="G247" s="445"/>
      <c r="H247" s="446" t="s">
        <v>14</v>
      </c>
      <c r="I247" s="440"/>
      <c r="J247" s="440"/>
      <c r="K247" s="353"/>
      <c r="L247" s="588">
        <f ca="1">IFERROR(__xludf.DUMMYFUNCTION("IMPORTRANGE(""https://docs.google.com/spreadsheets/d/1eHaY18a8A9IcSdp1K8H6x8fbOy06t2VsZHhMHf-1x7Y/edit?usp=sharing"",""แผน!BA78"")"),140000)</f>
        <v>140000</v>
      </c>
      <c r="M247" s="46"/>
      <c r="N247" s="639">
        <f>4875+19170+11650+7000+3715+500+2785+3180+3755+24400+9360+8250+10000+34125</f>
        <v>142765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52"/>
      <c r="B248" s="453"/>
      <c r="C248" s="409" t="s">
        <v>18</v>
      </c>
      <c r="D248" s="694" t="s">
        <v>38</v>
      </c>
      <c r="E248" s="455"/>
      <c r="F248" s="455"/>
      <c r="G248" s="456"/>
      <c r="H248" s="459"/>
      <c r="I248" s="448"/>
      <c r="J248" s="440"/>
      <c r="K248" s="353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x14ac:dyDescent="0.25">
      <c r="A249" s="452"/>
      <c r="B249" s="453"/>
      <c r="C249" s="453"/>
      <c r="D249" s="793" t="s">
        <v>108</v>
      </c>
      <c r="E249" s="442"/>
      <c r="F249" s="442"/>
      <c r="G249" s="459"/>
      <c r="H249" s="877" t="s">
        <v>35</v>
      </c>
      <c r="I249" s="351">
        <f ca="1">IFERROR(__xludf.DUMMYFUNCTION("IMPORTRANGE(""https://docs.google.com/spreadsheets/d/1eHaY18a8A9IcSdp1K8H6x8fbOy06t2VsZHhMHf-1x7Y/edit?usp=sharing"",""แผน!BG78"")"),110)</f>
        <v>110</v>
      </c>
      <c r="J249" s="795">
        <v>113</v>
      </c>
      <c r="K249" s="352">
        <f ca="1">IF(I249&gt;0,J249*100/I249,0)</f>
        <v>102.72727272727273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52"/>
      <c r="B250" s="453"/>
      <c r="C250" s="453"/>
      <c r="D250" s="878" t="s">
        <v>43</v>
      </c>
      <c r="E250" s="442"/>
      <c r="F250" s="442"/>
      <c r="G250" s="459"/>
      <c r="H250" s="459"/>
      <c r="I250" s="440"/>
      <c r="J250" s="440"/>
      <c r="K250" s="353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x14ac:dyDescent="0.25">
      <c r="A251" s="452"/>
      <c r="B251" s="453"/>
      <c r="C251" s="453"/>
      <c r="D251" s="453"/>
      <c r="E251" s="341" t="s">
        <v>109</v>
      </c>
      <c r="F251" s="442"/>
      <c r="G251" s="459"/>
      <c r="H251" s="877" t="s">
        <v>35</v>
      </c>
      <c r="I251" s="351">
        <f ca="1">IFERROR(__xludf.DUMMYFUNCTION("IMPORTRANGE(""https://docs.google.com/spreadsheets/d/1eHaY18a8A9IcSdp1K8H6x8fbOy06t2VsZHhMHf-1x7Y/edit?usp=sharing"",""แผน!KR78"")"),40)</f>
        <v>40</v>
      </c>
      <c r="J251" s="795">
        <v>110</v>
      </c>
      <c r="K251" s="352">
        <f t="shared" ref="K251:K253" ca="1" si="159">IF(I251&gt;0,J251*100/I251,0)</f>
        <v>275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52"/>
      <c r="B252" s="453"/>
      <c r="C252" s="453"/>
      <c r="D252" s="453"/>
      <c r="E252" s="341" t="s">
        <v>110</v>
      </c>
      <c r="F252" s="442"/>
      <c r="G252" s="459"/>
      <c r="H252" s="877" t="s">
        <v>61</v>
      </c>
      <c r="I252" s="351">
        <f ca="1">IFERROR(__xludf.DUMMYFUNCTION("IMPORTRANGE(""https://docs.google.com/spreadsheets/d/1eHaY18a8A9IcSdp1K8H6x8fbOy06t2VsZHhMHf-1x7Y/edit?usp=sharing"",""แผน!KS78"")"),6)</f>
        <v>6</v>
      </c>
      <c r="J252" s="795">
        <v>6</v>
      </c>
      <c r="K252" s="352">
        <f t="shared" ca="1" si="159"/>
        <v>100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876" t="s">
        <v>305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IFERROR(__xludf.DUMMYFUNCTION("IMPORTRANGE(""https://docs.google.com/spreadsheets/d/1eHaY18a8A9IcSdp1K8H6x8fbOy06t2VsZHhMHf-1x7Y/edit?usp=sharing"",""แผน!BB78"")"),0)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496" t="s">
        <v>87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IFERROR(__xludf.DUMMYFUNCTION("IMPORTRANGE(""https://docs.google.com/spreadsheets/d/1eHaY18a8A9IcSdp1K8H6x8fbOy06t2VsZHhMHf-1x7Y/edit?usp=sharing"",""แผน!BC78"")"),0)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496" t="s">
        <v>88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IFERROR(__xludf.DUMMYFUNCTION("IMPORTRANGE(""https://docs.google.com/spreadsheets/d/1eHaY18a8A9IcSdp1K8H6x8fbOy06t2VsZHhMHf-1x7Y/edit?usp=sharing"",""แผน!BD78"")"),0)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271" t="s">
        <v>89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IFERROR(__xludf.DUMMYFUNCTION("IMPORTRANGE(""https://docs.google.com/spreadsheets/d/1eHaY18a8A9IcSdp1K8H6x8fbOy06t2VsZHhMHf-1x7Y/edit?usp=sharing"",""แผน!BE78"")"),0)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IFERROR(__xludf.DUMMYFUNCTION("IMPORTRANGE(""https://docs.google.com/spreadsheets/d/1eHaY18a8A9IcSdp1K8H6x8fbOy06t2VsZHhMHf-1x7Y/edit?usp=sharing"",""แผน!BH78"")"),0)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24</v>
      </c>
      <c r="J265" s="686">
        <f t="shared" si="162"/>
        <v>24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23100</v>
      </c>
      <c r="N266" s="441">
        <f t="shared" ca="1" si="163"/>
        <v>21210</v>
      </c>
      <c r="O266" s="441">
        <f t="shared" ref="O266:O274" ca="1" si="164">IF(L266&gt;0,N266*100/L266,0)</f>
        <v>424.2</v>
      </c>
      <c r="P266" s="441">
        <f t="shared" ref="P266:P274" ca="1" si="165">IF(M266&gt;0,N266*100/M266,0)</f>
        <v>91.818181818181813</v>
      </c>
      <c r="Q266" s="441">
        <f t="shared" ref="Q266:S266" ca="1" si="166">Q267+Q268</f>
        <v>53440</v>
      </c>
      <c r="R266" s="441">
        <f t="shared" ca="1" si="166"/>
        <v>48088</v>
      </c>
      <c r="S266" s="441">
        <f t="shared" ca="1" si="166"/>
        <v>48088</v>
      </c>
      <c r="T266" s="441">
        <f t="shared" ref="T266:T274" ca="1" si="167">IF(Q266&gt;0,S266*100/Q266,0)</f>
        <v>89.985029940119759</v>
      </c>
      <c r="U266" s="441">
        <f t="shared" ref="U266:U274" ca="1" si="168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23100</v>
      </c>
      <c r="N268" s="352">
        <f t="shared" ca="1" si="169"/>
        <v>21210</v>
      </c>
      <c r="O268" s="352">
        <f t="shared" ca="1" si="164"/>
        <v>424.2</v>
      </c>
      <c r="P268" s="352">
        <f t="shared" ca="1" si="165"/>
        <v>91.818181818181813</v>
      </c>
      <c r="Q268" s="352">
        <f t="shared" ca="1" si="170"/>
        <v>53440</v>
      </c>
      <c r="R268" s="352">
        <f t="shared" ca="1" si="170"/>
        <v>48088</v>
      </c>
      <c r="S268" s="352">
        <f t="shared" ca="1" si="170"/>
        <v>48088</v>
      </c>
      <c r="T268" s="352">
        <f t="shared" ca="1" si="167"/>
        <v>89.985029940119759</v>
      </c>
      <c r="U268" s="352">
        <f t="shared" ca="1" si="168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23100</v>
      </c>
      <c r="N269" s="352">
        <f t="shared" ca="1" si="171"/>
        <v>21210</v>
      </c>
      <c r="O269" s="352">
        <f t="shared" ca="1" si="164"/>
        <v>424.2</v>
      </c>
      <c r="P269" s="352">
        <f t="shared" ca="1" si="165"/>
        <v>91.818181818181813</v>
      </c>
      <c r="Q269" s="352">
        <f t="shared" ref="Q269:S269" ca="1" si="172">Q270+Q271</f>
        <v>53440</v>
      </c>
      <c r="R269" s="352">
        <f t="shared" ca="1" si="172"/>
        <v>48088</v>
      </c>
      <c r="S269" s="352">
        <f t="shared" ca="1" si="172"/>
        <v>48088</v>
      </c>
      <c r="T269" s="352">
        <f t="shared" ca="1" si="167"/>
        <v>89.985029940119759</v>
      </c>
      <c r="U269" s="352">
        <f t="shared" ca="1" si="168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IFERROR(__xludf.DUMMYFUNCTION("IMPORTRANGE(""https://docs.google.com/spreadsheets/d/1-uDff_7J0KD5mKrp0Vvzr7lt3OU09vwQwhkpOPPYv2Y/edit?usp=sharing"",""งบพรบ!DE78"")"),5000)</f>
        <v>5000</v>
      </c>
      <c r="M271" s="352">
        <f ca="1">IFERROR(__xludf.DUMMYFUNCTION("IMPORTRANGE(""https://docs.google.com/spreadsheets/d/1-uDff_7J0KD5mKrp0Vvzr7lt3OU09vwQwhkpOPPYv2Y/edit?usp=sharing"",""งบพรบ!DJ78"")"),23100)</f>
        <v>23100</v>
      </c>
      <c r="N271" s="352">
        <f ca="1">IFERROR(__xludf.DUMMYFUNCTION("IMPORTRANGE(""https://docs.google.com/spreadsheets/d/1-uDff_7J0KD5mKrp0Vvzr7lt3OU09vwQwhkpOPPYv2Y/edit?usp=sharing"",""งบพรบ!DL78"")"),21210)</f>
        <v>21210</v>
      </c>
      <c r="O271" s="352">
        <f t="shared" ca="1" si="164"/>
        <v>424.2</v>
      </c>
      <c r="P271" s="352">
        <f t="shared" ca="1" si="165"/>
        <v>91.818181818181813</v>
      </c>
      <c r="Q271" s="352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352">
        <f ca="1">IFERROR(__xludf.DUMMYFUNCTION("IMPORTRANGE(""https://docs.google.com/spreadsheets/d/1ItG2mGa2ceCfYo0BwxsXqNm01IGEUdYcSSLTEv9YCik/edit?usp=sharing"",""เบิกจ่ายกองทุน!AQ78"")"),48088)</f>
        <v>48088</v>
      </c>
      <c r="S271" s="352">
        <f ca="1">IFERROR(__xludf.DUMMYFUNCTION("IMPORTRANGE(""https://docs.google.com/spreadsheets/d/1ItG2mGa2ceCfYo0BwxsXqNm01IGEUdYcSSLTEv9YCik/edit?usp=sharing"",""เบิกจ่ายกองทุน!AR78"")"),48088)</f>
        <v>48088</v>
      </c>
      <c r="T271" s="352">
        <f t="shared" ca="1" si="167"/>
        <v>89.985029940119759</v>
      </c>
      <c r="U271" s="352">
        <f t="shared" ca="1" si="168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IFERROR(__xludf.DUMMYFUNCTION("IMPORTRANGE(""https://docs.google.com/spreadsheets/d/1-uDff_7J0KD5mKrp0Vvzr7lt3OU09vwQwhkpOPPYv2Y/edit?usp=sharing"",""งบพรบ!DH78"")"),0)</f>
        <v>0</v>
      </c>
      <c r="M274" s="352">
        <f ca="1">IFERROR(__xludf.DUMMYFUNCTION("IMPORTRANGE(""https://docs.google.com/spreadsheets/d/1-uDff_7J0KD5mKrp0Vvzr7lt3OU09vwQwhkpOPPYv2Y/edit?usp=sharing"",""งบพรบ!DK78"")"),0)</f>
        <v>0</v>
      </c>
      <c r="N274" s="352">
        <f ca="1">IFERROR(__xludf.DUMMYFUNCTION("IMPORTRANGE(""https://docs.google.com/spreadsheets/d/1-uDff_7J0KD5mKrp0Vvzr7lt3OU09vwQwhkpOPPYv2Y/edit?usp=sharing"",""งบพรบ!DM78"")"),0)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IFERROR(__xludf.DUMMYFUNCTION("IMPORTRANGE(""https://docs.google.com/spreadsheets/d/1eHaY18a8A9IcSdp1K8H6x8fbOy06t2VsZHhMHf-1x7Y/edit?usp=sharing"",""แผน!EC78"")"),24)</f>
        <v>24</v>
      </c>
      <c r="J276" s="178">
        <v>24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IFERROR(__xludf.DUMMYFUNCTION("IMPORTRANGE(""https://docs.google.com/spreadsheets/d/1eHaY18a8A9IcSdp1K8H6x8fbOy06t2VsZHhMHf-1x7Y/edit?usp=sharing"",""แผน!EE78"")"),0)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IFERROR(__xludf.DUMMYFUNCTION("IMPORTRANGE(""https://docs.google.com/spreadsheets/d/1eHaY18a8A9IcSdp1K8H6x8fbOy06t2VsZHhMHf-1x7Y/edit?usp=sharing"",""แผน!ED78"")"),0)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IFERROR(__xludf.DUMMYFUNCTION("IMPORTRANGE(""https://docs.google.com/spreadsheets/d/1eHaY18a8A9IcSdp1K8H6x8fbOy06t2VsZHhMHf-1x7Y/edit?usp=sharing"",""แผน!ED78"")"),0)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IFERROR(__xludf.DUMMYFUNCTION("IMPORTRANGE(""https://docs.google.com/spreadsheets/d/1eHaY18a8A9IcSdp1K8H6x8fbOy06t2VsZHhMHf-1x7Y/edit?usp=sharing"",""แผน!ED78"")"),0)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30</v>
      </c>
      <c r="J302" s="321">
        <f t="shared" si="192"/>
        <v>30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260958.39</v>
      </c>
      <c r="R303" s="133">
        <f t="shared" ca="1" si="196"/>
        <v>265158</v>
      </c>
      <c r="S303" s="133">
        <f t="shared" ca="1" si="196"/>
        <v>127595</v>
      </c>
      <c r="T303" s="133">
        <f t="shared" ref="T303:T311" ca="1" si="197">IF(Q303&gt;0,S303*100/Q303,0)</f>
        <v>48.894768242553916</v>
      </c>
      <c r="U303" s="133">
        <f t="shared" ref="U303:U311" ca="1" si="198">IF(R303&gt;0,S303*100/R303,0)</f>
        <v>48.120365970477977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260958.39</v>
      </c>
      <c r="R305" s="47">
        <f t="shared" ca="1" si="200"/>
        <v>265158</v>
      </c>
      <c r="S305" s="47">
        <f t="shared" ca="1" si="200"/>
        <v>127595</v>
      </c>
      <c r="T305" s="47">
        <f t="shared" ca="1" si="197"/>
        <v>48.894768242553916</v>
      </c>
      <c r="U305" s="47">
        <f t="shared" ca="1" si="198"/>
        <v>48.120365970477977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260958.39</v>
      </c>
      <c r="R306" s="47">
        <f t="shared" ca="1" si="202"/>
        <v>265158</v>
      </c>
      <c r="S306" s="47">
        <f t="shared" ca="1" si="202"/>
        <v>127595</v>
      </c>
      <c r="T306" s="47">
        <f t="shared" ca="1" si="197"/>
        <v>48.894768242553916</v>
      </c>
      <c r="U306" s="47">
        <f t="shared" ca="1" si="198"/>
        <v>48.120365970477977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IFERROR(__xludf.DUMMYFUNCTION("IMPORTRANGE(""https://docs.google.com/spreadsheets/d/1ItG2mGa2ceCfYo0BwxsXqNm01IGEUdYcSSLTEv9YCik/edit?usp=sharing"",""เบิกจ่ายกองทุน!BC78"")"),265158)</f>
        <v>265158</v>
      </c>
      <c r="S308" s="47">
        <f ca="1">IFERROR(__xludf.DUMMYFUNCTION("IMPORTRANGE(""https://docs.google.com/spreadsheets/d/1ItG2mGa2ceCfYo0BwxsXqNm01IGEUdYcSSLTEv9YCik/edit?usp=sharing"",""เบิกจ่ายกองทุน!BD78"")"),127595)</f>
        <v>127595</v>
      </c>
      <c r="T308" s="47">
        <f t="shared" ca="1" si="197"/>
        <v>48.894768242553916</v>
      </c>
      <c r="U308" s="47">
        <f t="shared" ca="1" si="198"/>
        <v>48.120365970477977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IFERROR(__xludf.DUMMYFUNCTION("IMPORTRANGE(""https://docs.google.com/spreadsheets/d/1eHaY18a8A9IcSdp1K8H6x8fbOy06t2VsZHhMHf-1x7Y/edit?usp=sharing"",""แผน!EF78"")"),30)</f>
        <v>30</v>
      </c>
      <c r="J314" s="169">
        <v>30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t="shared" ca="1" si="207"/>
        <v>0</v>
      </c>
      <c r="P325" s="47">
        <f t="shared" ca="1" si="208"/>
        <v>0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IFERROR(__xludf.DUMMYFUNCTION("IMPORTRANGE(""https://docs.google.com/spreadsheets/d/1eHaY18a8A9IcSdp1K8H6x8fbOy06t2VsZHhMHf-1x7Y/edit?usp=sharing"",""แผน!EJ78"")"),0)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IFERROR(__xludf.DUMMYFUNCTION("IMPORTRANGE(""https://docs.google.com/spreadsheets/d/1eHaY18a8A9IcSdp1K8H6x8fbOy06t2VsZHhMHf-1x7Y/edit?usp=sharing"",""แผน!EK78"")"),1600)</f>
        <v>1600</v>
      </c>
      <c r="J332" s="718">
        <f ca="1">J344+J347+J348+J349+J353+J354</f>
        <v>10414</v>
      </c>
      <c r="K332" s="719">
        <f ca="1">IF(I332&gt;0,J332*100/I332,0)</f>
        <v>650.875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189000</v>
      </c>
      <c r="M333" s="133">
        <f t="shared" ca="1" si="218"/>
        <v>240175</v>
      </c>
      <c r="N333" s="133">
        <f t="shared" ca="1" si="218"/>
        <v>240175</v>
      </c>
      <c r="O333" s="133">
        <f t="shared" ref="O333:O341" ca="1" si="219">IF(L333&gt;0,N333*100/L333,0)</f>
        <v>127.07671957671958</v>
      </c>
      <c r="P333" s="133">
        <f t="shared" ref="P333:P341" ca="1" si="220">IF(M333&gt;0,N333*100/M333,0)</f>
        <v>100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189000</v>
      </c>
      <c r="M335" s="47">
        <f t="shared" ca="1" si="224"/>
        <v>240175</v>
      </c>
      <c r="N335" s="47">
        <f t="shared" ca="1" si="224"/>
        <v>240175</v>
      </c>
      <c r="O335" s="47">
        <f t="shared" ca="1" si="219"/>
        <v>127.07671957671958</v>
      </c>
      <c r="P335" s="47">
        <f t="shared" ca="1" si="220"/>
        <v>100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189000</v>
      </c>
      <c r="M336" s="47">
        <f t="shared" ca="1" si="226"/>
        <v>240175</v>
      </c>
      <c r="N336" s="47">
        <f t="shared" ca="1" si="226"/>
        <v>240175</v>
      </c>
      <c r="O336" s="47">
        <f t="shared" ca="1" si="219"/>
        <v>127.07671957671958</v>
      </c>
      <c r="P336" s="47">
        <f t="shared" ca="1" si="220"/>
        <v>100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IFERROR(__xludf.DUMMYFUNCTION("IMPORTRANGE(""https://docs.google.com/spreadsheets/d/1-uDff_7J0KD5mKrp0Vvzr7lt3OU09vwQwhkpOPPYv2Y/edit?usp=sharing"",""งบพรบ!EX78"")"),240175)</f>
        <v>240175</v>
      </c>
      <c r="N338" s="47">
        <f ca="1">IFERROR(__xludf.DUMMYFUNCTION("IMPORTRANGE(""https://docs.google.com/spreadsheets/d/1-uDff_7J0KD5mKrp0Vvzr7lt3OU09vwQwhkpOPPYv2Y/edit?usp=sharing"",""งบพรบ!EZ78"")"),240175)</f>
        <v>240175</v>
      </c>
      <c r="O338" s="47">
        <f t="shared" ca="1" si="219"/>
        <v>127.07671957671958</v>
      </c>
      <c r="P338" s="47">
        <f t="shared" ca="1" si="220"/>
        <v>100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t="shared" ca="1" si="219"/>
        <v>0</v>
      </c>
      <c r="P341" s="47">
        <f t="shared" ca="1" si="220"/>
        <v>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3251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IFERROR(__xludf.DUMMYFUNCTION("IMPORTRANGE(""https://docs.google.com/spreadsheets/d/1awYsYK3VOup2i3Pq_Yjnu8DRu_mYwSBnCR2QPthd0rU/edit?usp=sharing"",""ศูนย์ยกเว้นโฉนด!D78"")"),3244)</f>
        <v>3244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IFERROR(__xludf.DUMMYFUNCTION("IMPORTRANGE(""https://docs.google.com/spreadsheets/d/1eHaY18a8A9IcSdp1K8H6x8fbOy06t2VsZHhMHf-1x7Y/edit?usp=sharing"",""แผน!EL78"")"),8)</f>
        <v>8</v>
      </c>
      <c r="J346" s="372">
        <f ca="1">IFERROR(__xludf.DUMMYFUNCTION("IMPORTRANGE(""https://docs.google.com/spreadsheets/d/1awYsYK3VOup2i3Pq_Yjnu8DRu_mYwSBnCR2QPthd0rU/edit?usp=sharing"",""ศูนย์รวม!E78"")"),12)</f>
        <v>12</v>
      </c>
      <c r="K346" s="47">
        <f ca="1">IF(I346&gt;0,J346*100/I346,0)</f>
        <v>150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IFERROR(__xludf.DUMMYFUNCTION("IMPORTRANGE(""https://docs.google.com/spreadsheets/d/1awYsYK3VOup2i3Pq_Yjnu8DRu_mYwSBnCR2QPthd0rU/edit?usp=sharing"",""ศูนย์ยกเว้นโฉนด!G78"")"),5)</f>
        <v>5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7163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IFERROR(__xludf.DUMMYFUNCTION("IMPORTRANGE(""https://docs.google.com/spreadsheets/d/1awYsYK3VOup2i3Pq_Yjnu8DRu_mYwSBnCR2QPthd0rU/edit?usp=sharing"",""โฉนดM3!G78"")"),1996)</f>
        <v>1996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IFERROR(__xludf.DUMMYFUNCTION("IMPORTRANGE(""https://docs.google.com/spreadsheets/d/1awYsYK3VOup2i3Pq_Yjnu8DRu_mYwSBnCR2QPthd0rU/edit?usp=sharing"",""โฉนดM3!H78"")"),5918)</f>
        <v>5918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IFERROR(__xludf.DUMMYFUNCTION("IMPORTRANGE(""https://docs.google.com/spreadsheets/d/1awYsYK3VOup2i3Pq_Yjnu8DRu_mYwSBnCR2QPthd0rU/edit?usp=sharing"",""โฉนดM3!I78"")"),1245)</f>
        <v>1245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745130</v>
      </c>
      <c r="M356" s="133">
        <f t="shared" ca="1" si="230"/>
        <v>902130</v>
      </c>
      <c r="N356" s="133">
        <f t="shared" ca="1" si="230"/>
        <v>818325.16</v>
      </c>
      <c r="O356" s="133">
        <f t="shared" ref="O356:O364" ca="1" si="231">IF(L356&gt;0,N356*100/L356,0)</f>
        <v>109.8231395863809</v>
      </c>
      <c r="P356" s="133">
        <f t="shared" ref="P356:P364" ca="1" si="232">IF(M356&gt;0,N356*100/M356,0)</f>
        <v>90.710336647711529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745130</v>
      </c>
      <c r="M358" s="47">
        <f t="shared" ca="1" si="236"/>
        <v>902130</v>
      </c>
      <c r="N358" s="47">
        <f t="shared" ca="1" si="236"/>
        <v>818325.16</v>
      </c>
      <c r="O358" s="47">
        <f t="shared" ca="1" si="231"/>
        <v>109.8231395863809</v>
      </c>
      <c r="P358" s="47">
        <f t="shared" ca="1" si="232"/>
        <v>90.710336647711529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745130</v>
      </c>
      <c r="M359" s="47">
        <f t="shared" ca="1" si="238"/>
        <v>902130</v>
      </c>
      <c r="N359" s="47">
        <f t="shared" ca="1" si="238"/>
        <v>818325.16</v>
      </c>
      <c r="O359" s="47">
        <f t="shared" ca="1" si="231"/>
        <v>109.8231395863809</v>
      </c>
      <c r="P359" s="47">
        <f t="shared" ca="1" si="232"/>
        <v>90.710336647711529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IFERROR(__xludf.DUMMYFUNCTION("IMPORTRANGE(""https://docs.google.com/spreadsheets/d/1-uDff_7J0KD5mKrp0Vvzr7lt3OU09vwQwhkpOPPYv2Y/edit?usp=sharing"",""งบพรบ!FH78"")"),902130)</f>
        <v>902130</v>
      </c>
      <c r="N361" s="47">
        <f ca="1">IFERROR(__xludf.DUMMYFUNCTION("IMPORTRANGE(""https://docs.google.com/spreadsheets/d/1-uDff_7J0KD5mKrp0Vvzr7lt3OU09vwQwhkpOPPYv2Y/edit?usp=sharing"",""งบพรบ!FJ78"")"),818325.16)</f>
        <v>818325.16</v>
      </c>
      <c r="O361" s="47">
        <f t="shared" ca="1" si="231"/>
        <v>109.8231395863809</v>
      </c>
      <c r="P361" s="47">
        <f t="shared" ca="1" si="232"/>
        <v>90.710336647711529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827</v>
      </c>
      <c r="J365" s="236">
        <f t="shared" ca="1" si="242"/>
        <v>554</v>
      </c>
      <c r="K365" s="237">
        <f ca="1">IF(I365&gt;0,J365*100/I365,0)</f>
        <v>66.989117291414757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IFERROR(__xludf.DUMMYFUNCTION("IMPORTRANGE(""https://docs.google.com/spreadsheets/d/1tdoBKaGub7dwA3U6UFTqxio9LNnvDCQjHKmttSEBsFQ/edit?usp=sharing"",""จัดที่ดิน!AB78"")"),419)</f>
        <v>419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IFERROR(__xludf.DUMMYFUNCTION("IMPORTRANGE(""https://docs.google.com/spreadsheets/d/1eHaY18a8A9IcSdp1K8H6x8fbOy06t2VsZHhMHf-1x7Y/edit?usp=sharing"",""แผน!EW78"")"),1890)</f>
        <v>1890</v>
      </c>
      <c r="J368" s="729">
        <f ca="1">IFERROR(__xludf.DUMMYFUNCTION("IMPORTRANGE(""https://docs.google.com/spreadsheets/d/1tdoBKaGub7dwA3U6UFTqxio9LNnvDCQjHKmttSEBsFQ/edit?usp=sharing"",""จัดที่ดิน!AC78"")"),2863.02999999999)</f>
        <v>2863.0299999999902</v>
      </c>
      <c r="K368" s="47">
        <f t="shared" ca="1" si="243"/>
        <v>151.48306878306826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IFERROR(__xludf.DUMMYFUNCTION("IMPORTRANGE(""https://docs.google.com/spreadsheets/d/1eHaY18a8A9IcSdp1K8H6x8fbOy06t2VsZHhMHf-1x7Y/edit?usp=sharing"",""แผน!EX78"")"),827)</f>
        <v>827</v>
      </c>
      <c r="J369" s="372">
        <f ca="1">IFERROR(__xludf.DUMMYFUNCTION("IMPORTRANGE(""https://docs.google.com/spreadsheets/d/1tdoBKaGub7dwA3U6UFTqxio9LNnvDCQjHKmttSEBsFQ/edit?usp=sharing"",""จัดที่ดิน!AD78"")"),870)</f>
        <v>870</v>
      </c>
      <c r="K369" s="47">
        <f t="shared" ca="1" si="243"/>
        <v>105.19951632406288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IFERROR(__xludf.DUMMYFUNCTION("IMPORTRANGE(""https://docs.google.com/spreadsheets/d/1tdoBKaGub7dwA3U6UFTqxio9LNnvDCQjHKmttSEBsFQ/edit?usp=sharing"",""จัดที่ดิน!AE78"")"),7504.33)</f>
        <v>7504.33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IFERROR(__xludf.DUMMYFUNCTION("IMPORTRANGE(""https://docs.google.com/spreadsheets/d/1eHaY18a8A9IcSdp1K8H6x8fbOy06t2VsZHhMHf-1x7Y/edit?usp=sharing"",""แผน!EY78"")"),827)</f>
        <v>827</v>
      </c>
      <c r="J371" s="372">
        <f ca="1">IFERROR(__xludf.DUMMYFUNCTION("IMPORTRANGE(""https://docs.google.com/spreadsheets/d/1tdoBKaGub7dwA3U6UFTqxio9LNnvDCQjHKmttSEBsFQ/edit?usp=sharing"",""จัดที่ดิน!AF78"")"),554)</f>
        <v>554</v>
      </c>
      <c r="K371" s="47">
        <f t="shared" ca="1" si="243"/>
        <v>66.989117291414757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IFERROR(__xludf.DUMMYFUNCTION("IMPORTRANGE(""https://docs.google.com/spreadsheets/d/1tdoBKaGub7dwA3U6UFTqxio9LNnvDCQjHKmttSEBsFQ/edit?usp=sharing"",""จัดที่ดิน!AG78"")"),5138.91)</f>
        <v>5138.91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1000</v>
      </c>
      <c r="J374" s="737">
        <f t="shared" ca="1" si="244"/>
        <v>71</v>
      </c>
      <c r="K374" s="738">
        <f ca="1">IF(I374&gt;0,J374*100/I374,0)</f>
        <v>7.1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0</v>
      </c>
      <c r="M375" s="133">
        <f t="shared" ca="1" si="245"/>
        <v>0</v>
      </c>
      <c r="N375" s="133">
        <f t="shared" ca="1" si="245"/>
        <v>0</v>
      </c>
      <c r="O375" s="133">
        <f t="shared" ref="O375:O383" ca="1" si="246">IF(L375&gt;0,N375*100/L375,0)</f>
        <v>0</v>
      </c>
      <c r="P375" s="133">
        <f t="shared" ref="P375:P383" ca="1" si="247">IF(M375&gt;0,N375*100/M375,0)</f>
        <v>0</v>
      </c>
      <c r="Q375" s="133">
        <f t="shared" ref="Q375:S375" ca="1" si="248">Q376+Q377</f>
        <v>62500</v>
      </c>
      <c r="R375" s="133">
        <f t="shared" ca="1" si="248"/>
        <v>62500</v>
      </c>
      <c r="S375" s="133">
        <f t="shared" ca="1" si="248"/>
        <v>51379.99</v>
      </c>
      <c r="T375" s="133">
        <f t="shared" ref="T375:T383" ca="1" si="249">IF(Q375&gt;0,S375*100/Q375,0)</f>
        <v>82.207983999999996</v>
      </c>
      <c r="U375" s="133">
        <f t="shared" ref="U375:U383" ca="1" si="250">IF(R375&gt;0,S375*100/R375,0)</f>
        <v>82.207983999999996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0</v>
      </c>
      <c r="M377" s="47">
        <f t="shared" ca="1" si="251"/>
        <v>0</v>
      </c>
      <c r="N377" s="47">
        <f t="shared" ca="1" si="251"/>
        <v>0</v>
      </c>
      <c r="O377" s="47">
        <f t="shared" ca="1" si="246"/>
        <v>0</v>
      </c>
      <c r="P377" s="47">
        <f t="shared" ca="1" si="247"/>
        <v>0</v>
      </c>
      <c r="Q377" s="47">
        <f t="shared" ca="1" si="252"/>
        <v>62500</v>
      </c>
      <c r="R377" s="47">
        <f t="shared" ca="1" si="252"/>
        <v>62500</v>
      </c>
      <c r="S377" s="47">
        <f t="shared" ca="1" si="252"/>
        <v>51379.99</v>
      </c>
      <c r="T377" s="47">
        <f t="shared" ca="1" si="249"/>
        <v>82.207983999999996</v>
      </c>
      <c r="U377" s="47">
        <f t="shared" ca="1" si="250"/>
        <v>82.207983999999996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0</v>
      </c>
      <c r="M378" s="47">
        <f t="shared" ca="1" si="253"/>
        <v>0</v>
      </c>
      <c r="N378" s="47">
        <f t="shared" ca="1" si="253"/>
        <v>0</v>
      </c>
      <c r="O378" s="47">
        <f t="shared" ca="1" si="246"/>
        <v>0</v>
      </c>
      <c r="P378" s="47">
        <f t="shared" ca="1" si="247"/>
        <v>0</v>
      </c>
      <c r="Q378" s="47">
        <f t="shared" ref="Q378:S378" ca="1" si="254">Q379+Q380</f>
        <v>62500</v>
      </c>
      <c r="R378" s="47">
        <f t="shared" ca="1" si="254"/>
        <v>62500</v>
      </c>
      <c r="S378" s="47">
        <f t="shared" ca="1" si="254"/>
        <v>51379.99</v>
      </c>
      <c r="T378" s="47">
        <f t="shared" ca="1" si="249"/>
        <v>82.207983999999996</v>
      </c>
      <c r="U378" s="47">
        <f t="shared" ca="1" si="250"/>
        <v>82.207983999999996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t="shared" ca="1" si="246"/>
        <v>0</v>
      </c>
      <c r="P380" s="47">
        <f t="shared" ca="1" si="247"/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IFERROR(__xludf.DUMMYFUNCTION("IMPORTRANGE(""https://docs.google.com/spreadsheets/d/1ItG2mGa2ceCfYo0BwxsXqNm01IGEUdYcSSLTEv9YCik/edit?usp=sharing"",""เบิกจ่ายกองทุน!BY78"")"),51379.99)</f>
        <v>51379.99</v>
      </c>
      <c r="T380" s="47">
        <f t="shared" ca="1" si="249"/>
        <v>82.207983999999996</v>
      </c>
      <c r="U380" s="47">
        <f t="shared" ca="1" si="250"/>
        <v>82.207983999999996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IFERROR(__xludf.DUMMYFUNCTION("IMPORTRANGE(""https://docs.google.com/spreadsheets/d/1w5rwWK1o49a35cNtocGL0gxDwhFSTZUQu90BiH9_zqM/edit?usp=sharing"",""RTK!H78"")"),10)</f>
        <v>10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IFERROR(__xludf.DUMMYFUNCTION("IMPORTRANGE(""https://docs.google.com/spreadsheets/d/1w5rwWK1o49a35cNtocGL0gxDwhFSTZUQu90BiH9_zqM/edit?usp=sharing"",""RTK!G78"")"),1000)</f>
        <v>1000</v>
      </c>
      <c r="J386" s="372">
        <f ca="1">IFERROR(__xludf.DUMMYFUNCTION("IMPORTRANGE(""https://docs.google.com/spreadsheets/d/1w5rwWK1o49a35cNtocGL0gxDwhFSTZUQu90BiH9_zqM/edit?usp=sharing"",""RTK!I78"")"),71)</f>
        <v>71</v>
      </c>
      <c r="K386" s="47">
        <f t="shared" ca="1" si="257"/>
        <v>7.1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IFERROR(__xludf.DUMMYFUNCTION("IMPORTRANGE(""https://docs.google.com/spreadsheets/d/1w5rwWK1o49a35cNtocGL0gxDwhFSTZUQu90BiH9_zqM/edit?usp=sharing"",""RTK!L78"")"),0)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IFERROR(__xludf.DUMMYFUNCTION("IMPORTRANGE(""https://docs.google.com/spreadsheets/d/1w5rwWK1o49a35cNtocGL0gxDwhFSTZUQu90BiH9_zqM/edit?usp=sharing"",""RTK!K78"")"),0)</f>
        <v>0</v>
      </c>
      <c r="J388" s="351">
        <f ca="1">IFERROR(__xludf.DUMMYFUNCTION("IMPORTRANGE(""https://docs.google.com/spreadsheets/d/1w5rwWK1o49a35cNtocGL0gxDwhFSTZUQu90BiH9_zqM/edit?usp=sharing"",""RTK!M78"")"),0)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24960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2">L414+L415</f>
        <v>309640</v>
      </c>
      <c r="M413" s="133">
        <f t="shared" ca="1" si="272"/>
        <v>551338</v>
      </c>
      <c r="N413" s="133">
        <f t="shared" ca="1" si="272"/>
        <v>545456.74</v>
      </c>
      <c r="O413" s="133">
        <f t="shared" ref="O413:O421" ca="1" si="273">IF(L413&gt;0,N413*100/L413,0)</f>
        <v>176.15835809326961</v>
      </c>
      <c r="P413" s="133">
        <f t="shared" ref="P413:P421" ca="1" si="274">IF(M413&gt;0,N413*100/M413,0)</f>
        <v>98.933275050876233</v>
      </c>
      <c r="Q413" s="133">
        <f t="shared" ref="Q413:S413" ca="1" si="275">Q414+Q415</f>
        <v>67200</v>
      </c>
      <c r="R413" s="133">
        <f t="shared" ca="1" si="275"/>
        <v>67200</v>
      </c>
      <c r="S413" s="133">
        <f t="shared" ca="1" si="275"/>
        <v>22490</v>
      </c>
      <c r="T413" s="133">
        <f t="shared" ref="T413:T421" ca="1" si="276">IF(Q413&gt;0,S413*100/Q413,0)</f>
        <v>33.467261904761905</v>
      </c>
      <c r="U413" s="133">
        <f t="shared" ref="U413:U421" ca="1" si="277">IF(R413&gt;0,S413*100/R413,0)</f>
        <v>33.467261904761905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309640</v>
      </c>
      <c r="M415" s="47">
        <f t="shared" ca="1" si="278"/>
        <v>551338</v>
      </c>
      <c r="N415" s="47">
        <f t="shared" ca="1" si="278"/>
        <v>545456.74</v>
      </c>
      <c r="O415" s="47">
        <f t="shared" ca="1" si="273"/>
        <v>176.15835809326961</v>
      </c>
      <c r="P415" s="47">
        <f t="shared" ca="1" si="274"/>
        <v>98.933275050876233</v>
      </c>
      <c r="Q415" s="47">
        <f t="shared" ca="1" si="279"/>
        <v>67200</v>
      </c>
      <c r="R415" s="47">
        <f t="shared" ca="1" si="279"/>
        <v>67200</v>
      </c>
      <c r="S415" s="47">
        <f t="shared" ca="1" si="279"/>
        <v>22490</v>
      </c>
      <c r="T415" s="47">
        <f t="shared" ca="1" si="276"/>
        <v>33.467261904761905</v>
      </c>
      <c r="U415" s="47">
        <f t="shared" ca="1" si="277"/>
        <v>33.467261904761905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0">L417+L418</f>
        <v>309640</v>
      </c>
      <c r="M416" s="47">
        <f t="shared" ca="1" si="280"/>
        <v>551338</v>
      </c>
      <c r="N416" s="47">
        <f t="shared" ca="1" si="280"/>
        <v>545456.74</v>
      </c>
      <c r="O416" s="47">
        <f t="shared" ca="1" si="273"/>
        <v>176.15835809326961</v>
      </c>
      <c r="P416" s="47">
        <f t="shared" ca="1" si="274"/>
        <v>98.933275050876233</v>
      </c>
      <c r="Q416" s="47">
        <f t="shared" ref="Q416:S416" ca="1" si="281">Q417+Q418</f>
        <v>67200</v>
      </c>
      <c r="R416" s="47">
        <f t="shared" ca="1" si="281"/>
        <v>67200</v>
      </c>
      <c r="S416" s="47">
        <f t="shared" ca="1" si="281"/>
        <v>22490</v>
      </c>
      <c r="T416" s="47">
        <f t="shared" ca="1" si="276"/>
        <v>33.467261904761905</v>
      </c>
      <c r="U416" s="47">
        <f t="shared" ca="1" si="277"/>
        <v>33.467261904761905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IFERROR(__xludf.DUMMYFUNCTION("IMPORTRANGE(""https://docs.google.com/spreadsheets/d/1-uDff_7J0KD5mKrp0Vvzr7lt3OU09vwQwhkpOPPYv2Y/edit?usp=sharing"",""งบพรบ!IT78"")"),551338)</f>
        <v>551338</v>
      </c>
      <c r="N418" s="47">
        <f ca="1">IFERROR(__xludf.DUMMYFUNCTION("IMPORTRANGE(""https://docs.google.com/spreadsheets/d/1-uDff_7J0KD5mKrp0Vvzr7lt3OU09vwQwhkpOPPYv2Y/edit?usp=sharing"",""งบพรบ!IV78"")"),545456.74)</f>
        <v>545456.74</v>
      </c>
      <c r="O418" s="47">
        <f t="shared" ca="1" si="273"/>
        <v>176.15835809326961</v>
      </c>
      <c r="P418" s="47">
        <f t="shared" ca="1" si="274"/>
        <v>98.933275050876233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IFERROR(__xludf.DUMMYFUNCTION("IMPORTRANGE(""https://docs.google.com/spreadsheets/d/1ItG2mGa2ceCfYo0BwxsXqNm01IGEUdYcSSLTEv9YCik/edit?usp=sharing"",""เบิกจ่ายกองทุน!CB78"")"),22490)</f>
        <v>22490</v>
      </c>
      <c r="T418" s="47">
        <f t="shared" ca="1" si="276"/>
        <v>33.467261904761905</v>
      </c>
      <c r="U418" s="47">
        <f t="shared" ca="1" si="277"/>
        <v>33.467261904761905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ca="1">I440</f>
        <v>24960</v>
      </c>
      <c r="J423" s="749">
        <f>J432</f>
        <v>0</v>
      </c>
      <c r="K423" s="489">
        <f t="shared" ref="K423:K425" ca="1" si="284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IFERROR(__xludf.DUMMYFUNCTION("IMPORTRANGE(""https://docs.google.com/spreadsheets/d/1eHaY18a8A9IcSdp1K8H6x8fbOy06t2VsZHhMHf-1x7Y/edit?usp=sharing"",""แผน!HJ78"")"),24960)</f>
        <v>24960</v>
      </c>
      <c r="J424" s="751">
        <f t="shared" ref="J424:J425" si="285">J426+J428+J430</f>
        <v>0</v>
      </c>
      <c r="K424" s="133">
        <f t="shared" ca="1" si="284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IFERROR(__xludf.DUMMYFUNCTION("IMPORTRANGE(""https://docs.google.com/spreadsheets/d/1eHaY18a8A9IcSdp1K8H6x8fbOy06t2VsZHhMHf-1x7Y/edit?usp=sharing"",""แผน!HK78"")"),2753)</f>
        <v>2753</v>
      </c>
      <c r="J425" s="751">
        <f t="shared" si="285"/>
        <v>0</v>
      </c>
      <c r="K425" s="133">
        <f t="shared" ca="1" si="284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IFERROR(__xludf.DUMMYFUNCTION("IMPORTRANGE(""https://docs.google.com/spreadsheets/d/1eHaY18a8A9IcSdp1K8H6x8fbOy06t2VsZHhMHf-1x7Y/edit?usp=sharing"",""แผน!HJ78"")"),24960)</f>
        <v>24960</v>
      </c>
      <c r="J432" s="751">
        <f t="shared" ref="J432:J433" si="286">J434+J436+J438</f>
        <v>0</v>
      </c>
      <c r="K432" s="133">
        <f t="shared" ref="K432:K433" ca="1" si="287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IFERROR(__xludf.DUMMYFUNCTION("IMPORTRANGE(""https://docs.google.com/spreadsheets/d/1eHaY18a8A9IcSdp1K8H6x8fbOy06t2VsZHhMHf-1x7Y/edit?usp=sharing"",""แผน!HK78"")"),2753)</f>
        <v>2753</v>
      </c>
      <c r="J433" s="751">
        <f t="shared" si="286"/>
        <v>0</v>
      </c>
      <c r="K433" s="133">
        <f t="shared" ca="1" si="287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IFERROR(__xludf.DUMMYFUNCTION("IMPORTRANGE(""https://docs.google.com/spreadsheets/d/1eHaY18a8A9IcSdp1K8H6x8fbOy06t2VsZHhMHf-1x7Y/edit?usp=sharing"",""แผน!HJ78"")"),24960)</f>
        <v>24960</v>
      </c>
      <c r="J440" s="751">
        <f t="shared" ref="J440:J441" si="288">J442+J444+J446+J452+J454</f>
        <v>0</v>
      </c>
      <c r="K440" s="133">
        <f t="shared" ref="K440:K441" ca="1" si="289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IFERROR(__xludf.DUMMYFUNCTION("IMPORTRANGE(""https://docs.google.com/spreadsheets/d/1eHaY18a8A9IcSdp1K8H6x8fbOy06t2VsZHhMHf-1x7Y/edit?usp=sharing"",""แผน!HK78"")"),2753)</f>
        <v>2753</v>
      </c>
      <c r="J441" s="751">
        <f t="shared" si="288"/>
        <v>0</v>
      </c>
      <c r="K441" s="133">
        <f t="shared" ca="1" si="289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0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0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1">I457</f>
        <v>1727.79</v>
      </c>
      <c r="J456" s="754">
        <f t="shared" si="291"/>
        <v>0</v>
      </c>
      <c r="K456" s="489">
        <f t="shared" ref="K456:K458" ca="1" si="292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IFERROR(__xludf.DUMMYFUNCTION("IMPORTRANGE(""https://docs.google.com/spreadsheets/d/1eHaY18a8A9IcSdp1K8H6x8fbOy06t2VsZHhMHf-1x7Y/edit?usp=sharing"",""แผน!HL78"")"),1727.79)</f>
        <v>1727.79</v>
      </c>
      <c r="J457" s="751">
        <f t="shared" ref="J457:J458" si="293">J459+J467+J473</f>
        <v>0</v>
      </c>
      <c r="K457" s="133">
        <f t="shared" ca="1" si="292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IFERROR(__xludf.DUMMYFUNCTION("IMPORTRANGE(""https://docs.google.com/spreadsheets/d/1eHaY18a8A9IcSdp1K8H6x8fbOy06t2VsZHhMHf-1x7Y/edit?usp=sharing"",""แผน!HM78"")"),192)</f>
        <v>192</v>
      </c>
      <c r="J458" s="751">
        <f t="shared" si="293"/>
        <v>0</v>
      </c>
      <c r="K458" s="133">
        <f t="shared" ca="1" si="292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4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4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5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5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6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7">J478+J480</f>
        <v>0</v>
      </c>
      <c r="K476" s="764">
        <f t="shared" si="296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7"/>
        <v>0</v>
      </c>
      <c r="K477" s="764">
        <f t="shared" si="296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v>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v>0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865">
        <f ca="1">IFERROR(__xludf.DUMMYFUNCTION("IMPORTRANGE(""https://docs.google.com/spreadsheets/d/1eHaY18a8A9IcSdp1K8H6x8fbOy06t2VsZHhMHf-1x7Y/edit?usp=sharing"",""แผน!HO78"")"),0)</f>
        <v>0</v>
      </c>
      <c r="J484" s="763">
        <f t="shared" ref="J484:J485" si="298">J486+J488+J490</f>
        <v>0</v>
      </c>
      <c r="K484" s="764">
        <f t="shared" ref="K484:K485" ca="1" si="299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865">
        <f ca="1">IFERROR(__xludf.DUMMYFUNCTION("IMPORTRANGE(""https://docs.google.com/spreadsheets/d/1eHaY18a8A9IcSdp1K8H6x8fbOy06t2VsZHhMHf-1x7Y/edit?usp=sharing"",""แผน!HN78"")"),0)</f>
        <v>0</v>
      </c>
      <c r="J485" s="763">
        <f t="shared" si="298"/>
        <v>0</v>
      </c>
      <c r="K485" s="764">
        <f t="shared" ca="1" si="299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0">I503</f>
        <v>0</v>
      </c>
      <c r="J492" s="321">
        <f t="shared" ca="1" si="300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1">L494+L495</f>
        <v>0</v>
      </c>
      <c r="M493" s="133">
        <f t="shared" ca="1" si="301"/>
        <v>0</v>
      </c>
      <c r="N493" s="133">
        <f t="shared" ca="1" si="301"/>
        <v>0</v>
      </c>
      <c r="O493" s="133">
        <f t="shared" ref="O493:O501" ca="1" si="302">IF(L493&gt;0,N493*100/L493,0)</f>
        <v>0</v>
      </c>
      <c r="P493" s="133">
        <f t="shared" ref="P493:P501" ca="1" si="303">IF(M493&gt;0,N493*100/M493,0)</f>
        <v>0</v>
      </c>
      <c r="Q493" s="133">
        <f t="shared" ref="Q493:S493" ca="1" si="304">Q494+Q495</f>
        <v>0</v>
      </c>
      <c r="R493" s="133">
        <f t="shared" ca="1" si="304"/>
        <v>0</v>
      </c>
      <c r="S493" s="133">
        <f t="shared" ca="1" si="304"/>
        <v>0</v>
      </c>
      <c r="T493" s="133">
        <f t="shared" ref="T493:T501" ca="1" si="305">IF(Q493&gt;0,S493*100/Q493,0)</f>
        <v>0</v>
      </c>
      <c r="U493" s="133">
        <f t="shared" ref="U493:U501" ca="1" si="306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7">L497+L500</f>
        <v>0</v>
      </c>
      <c r="M494" s="49">
        <f t="shared" si="307"/>
        <v>0</v>
      </c>
      <c r="N494" s="49">
        <f t="shared" si="307"/>
        <v>0</v>
      </c>
      <c r="O494" s="49">
        <f t="shared" si="302"/>
        <v>0</v>
      </c>
      <c r="P494" s="49">
        <f t="shared" si="303"/>
        <v>0</v>
      </c>
      <c r="Q494" s="49">
        <f t="shared" ref="Q494:S495" si="308">Q497+Q500</f>
        <v>0</v>
      </c>
      <c r="R494" s="49">
        <f t="shared" si="308"/>
        <v>0</v>
      </c>
      <c r="S494" s="49">
        <f t="shared" si="308"/>
        <v>0</v>
      </c>
      <c r="T494" s="49">
        <f t="shared" si="305"/>
        <v>0</v>
      </c>
      <c r="U494" s="49">
        <f t="shared" si="306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7"/>
        <v>0</v>
      </c>
      <c r="M495" s="47">
        <f t="shared" ca="1" si="307"/>
        <v>0</v>
      </c>
      <c r="N495" s="47">
        <f t="shared" ca="1" si="307"/>
        <v>0</v>
      </c>
      <c r="O495" s="47">
        <f t="shared" ca="1" si="302"/>
        <v>0</v>
      </c>
      <c r="P495" s="47">
        <f t="shared" ca="1" si="303"/>
        <v>0</v>
      </c>
      <c r="Q495" s="47">
        <f t="shared" ca="1" si="308"/>
        <v>0</v>
      </c>
      <c r="R495" s="47">
        <f t="shared" ca="1" si="308"/>
        <v>0</v>
      </c>
      <c r="S495" s="47">
        <f t="shared" ca="1" si="308"/>
        <v>0</v>
      </c>
      <c r="T495" s="47">
        <f t="shared" ca="1" si="305"/>
        <v>0</v>
      </c>
      <c r="U495" s="47">
        <f t="shared" ca="1" si="306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09">L497+L498</f>
        <v>0</v>
      </c>
      <c r="M496" s="47">
        <f t="shared" ca="1" si="309"/>
        <v>0</v>
      </c>
      <c r="N496" s="47">
        <f t="shared" ca="1" si="309"/>
        <v>0</v>
      </c>
      <c r="O496" s="47">
        <f t="shared" ca="1" si="302"/>
        <v>0</v>
      </c>
      <c r="P496" s="47">
        <f t="shared" ca="1" si="303"/>
        <v>0</v>
      </c>
      <c r="Q496" s="47">
        <f t="shared" ref="Q496:S496" ca="1" si="310">Q497+Q498</f>
        <v>0</v>
      </c>
      <c r="R496" s="47">
        <f t="shared" ca="1" si="310"/>
        <v>0</v>
      </c>
      <c r="S496" s="47">
        <f t="shared" ca="1" si="310"/>
        <v>0</v>
      </c>
      <c r="T496" s="47">
        <f t="shared" ca="1" si="305"/>
        <v>0</v>
      </c>
      <c r="U496" s="47">
        <f t="shared" ca="1" si="306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2"/>
        <v>0</v>
      </c>
      <c r="P497" s="49">
        <f t="shared" si="303"/>
        <v>0</v>
      </c>
      <c r="Q497" s="49">
        <v>0</v>
      </c>
      <c r="R497" s="49">
        <v>0</v>
      </c>
      <c r="S497" s="49">
        <v>0</v>
      </c>
      <c r="T497" s="49">
        <f t="shared" si="305"/>
        <v>0</v>
      </c>
      <c r="U497" s="49">
        <f t="shared" si="306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t="shared" ca="1" si="302"/>
        <v>0</v>
      </c>
      <c r="P498" s="47">
        <f t="shared" ca="1" si="303"/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t="shared" ca="1" si="305"/>
        <v>0</v>
      </c>
      <c r="U498" s="47">
        <f t="shared" ca="1" si="306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1">L500+L501</f>
        <v>0</v>
      </c>
      <c r="M499" s="47">
        <f t="shared" ca="1" si="311"/>
        <v>0</v>
      </c>
      <c r="N499" s="47">
        <f t="shared" ca="1" si="311"/>
        <v>0</v>
      </c>
      <c r="O499" s="47">
        <f t="shared" ca="1" si="302"/>
        <v>0</v>
      </c>
      <c r="P499" s="47">
        <f t="shared" ca="1" si="303"/>
        <v>0</v>
      </c>
      <c r="Q499" s="47">
        <f t="shared" ref="Q499:S499" si="312">Q500+Q501</f>
        <v>0</v>
      </c>
      <c r="R499" s="47">
        <f t="shared" si="312"/>
        <v>0</v>
      </c>
      <c r="S499" s="47">
        <f t="shared" si="312"/>
        <v>0</v>
      </c>
      <c r="T499" s="47">
        <f t="shared" si="305"/>
        <v>0</v>
      </c>
      <c r="U499" s="47">
        <f t="shared" si="306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2"/>
        <v>0</v>
      </c>
      <c r="P500" s="49">
        <f t="shared" si="303"/>
        <v>0</v>
      </c>
      <c r="Q500" s="49">
        <v>0</v>
      </c>
      <c r="R500" s="49">
        <v>0</v>
      </c>
      <c r="S500" s="49">
        <v>0</v>
      </c>
      <c r="T500" s="49">
        <f t="shared" si="305"/>
        <v>0</v>
      </c>
      <c r="U500" s="49">
        <f t="shared" si="306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t="shared" ca="1" si="302"/>
        <v>0</v>
      </c>
      <c r="P501" s="47">
        <f t="shared" ca="1" si="303"/>
        <v>0</v>
      </c>
      <c r="Q501" s="47">
        <v>0</v>
      </c>
      <c r="R501" s="47">
        <v>0</v>
      </c>
      <c r="S501" s="47">
        <v>0</v>
      </c>
      <c r="T501" s="47">
        <f t="shared" si="305"/>
        <v>0</v>
      </c>
      <c r="U501" s="47">
        <f t="shared" si="306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IFERROR(__xludf.DUMMYFUNCTION("IMPORTRANGE(""https://docs.google.com/spreadsheets/d/1eHaY18a8A9IcSdp1K8H6x8fbOy06t2VsZHhMHf-1x7Y/edit?usp=sharing"",""แผน!GX78"")"),0)</f>
        <v>0</v>
      </c>
      <c r="J503" s="371">
        <f ca="1">IF(AND(J504=I504,J505=I505,J506=I506,J507=I507),I503,0)</f>
        <v>0</v>
      </c>
      <c r="K503" s="133">
        <f t="shared" ref="K503:K509" ca="1" si="313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IFERROR(__xludf.DUMMYFUNCTION("IMPORTRANGE(""https://docs.google.com/spreadsheets/d/1eHaY18a8A9IcSdp1K8H6x8fbOy06t2VsZHhMHf-1x7Y/edit?usp=sharing"",""แผน!GY78"")"),0)</f>
        <v>0</v>
      </c>
      <c r="J504" s="169">
        <v>0</v>
      </c>
      <c r="K504" s="47">
        <f t="shared" ca="1" si="313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IFERROR(__xludf.DUMMYFUNCTION("IMPORTRANGE(""https://docs.google.com/spreadsheets/d/1eHaY18a8A9IcSdp1K8H6x8fbOy06t2VsZHhMHf-1x7Y/edit?usp=sharing"",""แผน!GZ78"")"),0)</f>
        <v>0</v>
      </c>
      <c r="J505" s="169">
        <v>0</v>
      </c>
      <c r="K505" s="47">
        <f t="shared" ca="1" si="313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IFERROR(__xludf.DUMMYFUNCTION("IMPORTRANGE(""https://docs.google.com/spreadsheets/d/1eHaY18a8A9IcSdp1K8H6x8fbOy06t2VsZHhMHf-1x7Y/edit?usp=sharing"",""แผน!HA78"")"),0)</f>
        <v>0</v>
      </c>
      <c r="J506" s="169">
        <v>0</v>
      </c>
      <c r="K506" s="47">
        <f t="shared" ca="1" si="313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IFERROR(__xludf.DUMMYFUNCTION("IMPORTRANGE(""https://docs.google.com/spreadsheets/d/1eHaY18a8A9IcSdp1K8H6x8fbOy06t2VsZHhMHf-1x7Y/edit?usp=sharing"",""แผน!HB78"")"),0)</f>
        <v>0</v>
      </c>
      <c r="J507" s="169">
        <v>0</v>
      </c>
      <c r="K507" s="47">
        <f t="shared" ca="1" si="313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3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IFERROR(__xludf.DUMMYFUNCTION("IMPORTRANGE(""https://docs.google.com/spreadsheets/d/1eHaY18a8A9IcSdp1K8H6x8fbOy06t2VsZHhMHf-1x7Y/edit?usp=sharing"",""แผน!HC78"")"),0)</f>
        <v>0</v>
      </c>
      <c r="J509" s="378">
        <v>0</v>
      </c>
      <c r="K509" s="111">
        <f t="shared" ca="1" si="313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850"/>
      <c r="M510" s="851"/>
      <c r="N510" s="851"/>
      <c r="O510" s="851"/>
      <c r="P510" s="851"/>
      <c r="Q510" s="851"/>
      <c r="R510" s="851"/>
      <c r="S510" s="851"/>
      <c r="T510" s="851"/>
      <c r="U510" s="851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4">I524</f>
        <v>0</v>
      </c>
      <c r="J512" s="855">
        <f t="shared" si="314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5">L514+L515</f>
        <v>0</v>
      </c>
      <c r="M513" s="133">
        <f t="shared" ca="1" si="315"/>
        <v>0</v>
      </c>
      <c r="N513" s="133">
        <f t="shared" ca="1" si="315"/>
        <v>0</v>
      </c>
      <c r="O513" s="133">
        <f t="shared" ref="O513:O521" ca="1" si="316">IF(L513&gt;0,N513*100/L513,0)</f>
        <v>0</v>
      </c>
      <c r="P513" s="133">
        <f t="shared" ref="P513:P521" ca="1" si="317">IF(M513&gt;0,N513*100/M513,0)</f>
        <v>0</v>
      </c>
      <c r="Q513" s="133">
        <f t="shared" ref="Q513:S513" si="318">Q514+Q515</f>
        <v>0</v>
      </c>
      <c r="R513" s="133">
        <f t="shared" si="318"/>
        <v>0</v>
      </c>
      <c r="S513" s="133">
        <f t="shared" si="318"/>
        <v>0</v>
      </c>
      <c r="T513" s="133">
        <f t="shared" ref="T513:T521" si="319">IF(Q513&gt;0,S513*100/Q513,0)</f>
        <v>0</v>
      </c>
      <c r="U513" s="133">
        <f t="shared" ref="U513:U521" si="320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1">L517+L520</f>
        <v>0</v>
      </c>
      <c r="M514" s="49">
        <f t="shared" si="321"/>
        <v>0</v>
      </c>
      <c r="N514" s="49">
        <f t="shared" si="321"/>
        <v>0</v>
      </c>
      <c r="O514" s="49">
        <f t="shared" si="316"/>
        <v>0</v>
      </c>
      <c r="P514" s="49">
        <f t="shared" si="317"/>
        <v>0</v>
      </c>
      <c r="Q514" s="49">
        <f t="shared" ref="Q514:S515" si="322">Q517+Q520</f>
        <v>0</v>
      </c>
      <c r="R514" s="49">
        <f t="shared" si="322"/>
        <v>0</v>
      </c>
      <c r="S514" s="49">
        <f t="shared" si="322"/>
        <v>0</v>
      </c>
      <c r="T514" s="49">
        <f t="shared" si="319"/>
        <v>0</v>
      </c>
      <c r="U514" s="49">
        <f t="shared" si="320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1"/>
        <v>0</v>
      </c>
      <c r="M515" s="47">
        <f t="shared" ca="1" si="321"/>
        <v>0</v>
      </c>
      <c r="N515" s="47">
        <f t="shared" ca="1" si="321"/>
        <v>0</v>
      </c>
      <c r="O515" s="47">
        <f t="shared" ca="1" si="316"/>
        <v>0</v>
      </c>
      <c r="P515" s="47">
        <f t="shared" ca="1" si="317"/>
        <v>0</v>
      </c>
      <c r="Q515" s="47">
        <f t="shared" si="322"/>
        <v>0</v>
      </c>
      <c r="R515" s="47">
        <f t="shared" si="322"/>
        <v>0</v>
      </c>
      <c r="S515" s="47">
        <f t="shared" si="322"/>
        <v>0</v>
      </c>
      <c r="T515" s="47">
        <f t="shared" si="319"/>
        <v>0</v>
      </c>
      <c r="U515" s="47">
        <f t="shared" si="320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3">L517+L518</f>
        <v>0</v>
      </c>
      <c r="M516" s="47">
        <f t="shared" ca="1" si="323"/>
        <v>0</v>
      </c>
      <c r="N516" s="47">
        <f t="shared" ca="1" si="323"/>
        <v>0</v>
      </c>
      <c r="O516" s="47">
        <f t="shared" ca="1" si="316"/>
        <v>0</v>
      </c>
      <c r="P516" s="47">
        <f t="shared" ca="1" si="317"/>
        <v>0</v>
      </c>
      <c r="Q516" s="47">
        <f t="shared" ref="Q516:S516" si="324">Q517+Q518</f>
        <v>0</v>
      </c>
      <c r="R516" s="47">
        <f t="shared" si="324"/>
        <v>0</v>
      </c>
      <c r="S516" s="47">
        <f t="shared" si="324"/>
        <v>0</v>
      </c>
      <c r="T516" s="47">
        <f t="shared" si="319"/>
        <v>0</v>
      </c>
      <c r="U516" s="47">
        <f t="shared" si="320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6"/>
        <v>0</v>
      </c>
      <c r="P517" s="49">
        <f t="shared" si="317"/>
        <v>0</v>
      </c>
      <c r="Q517" s="49">
        <v>0</v>
      </c>
      <c r="R517" s="49">
        <v>0</v>
      </c>
      <c r="S517" s="49">
        <v>0</v>
      </c>
      <c r="T517" s="49">
        <f t="shared" si="319"/>
        <v>0</v>
      </c>
      <c r="U517" s="49">
        <f t="shared" si="320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t="shared" ca="1" si="316"/>
        <v>0</v>
      </c>
      <c r="P518" s="47">
        <f t="shared" ca="1" si="317"/>
        <v>0</v>
      </c>
      <c r="Q518" s="47">
        <v>0</v>
      </c>
      <c r="R518" s="47">
        <v>0</v>
      </c>
      <c r="S518" s="47">
        <v>0</v>
      </c>
      <c r="T518" s="47">
        <f t="shared" si="319"/>
        <v>0</v>
      </c>
      <c r="U518" s="47">
        <f t="shared" si="320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5">L520+L521</f>
        <v>0</v>
      </c>
      <c r="M519" s="47">
        <f t="shared" ca="1" si="325"/>
        <v>0</v>
      </c>
      <c r="N519" s="47">
        <f t="shared" ca="1" si="325"/>
        <v>0</v>
      </c>
      <c r="O519" s="47">
        <f t="shared" ca="1" si="316"/>
        <v>0</v>
      </c>
      <c r="P519" s="47">
        <f t="shared" ca="1" si="317"/>
        <v>0</v>
      </c>
      <c r="Q519" s="47">
        <f t="shared" ref="Q519:S519" si="326">Q520+Q521</f>
        <v>0</v>
      </c>
      <c r="R519" s="47">
        <f t="shared" si="326"/>
        <v>0</v>
      </c>
      <c r="S519" s="47">
        <f t="shared" si="326"/>
        <v>0</v>
      </c>
      <c r="T519" s="47">
        <f t="shared" si="319"/>
        <v>0</v>
      </c>
      <c r="U519" s="47">
        <f t="shared" si="320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6"/>
        <v>0</v>
      </c>
      <c r="P520" s="49">
        <f t="shared" si="317"/>
        <v>0</v>
      </c>
      <c r="Q520" s="49">
        <v>0</v>
      </c>
      <c r="R520" s="49">
        <v>0</v>
      </c>
      <c r="S520" s="49">
        <v>0</v>
      </c>
      <c r="T520" s="49">
        <f t="shared" si="319"/>
        <v>0</v>
      </c>
      <c r="U520" s="49">
        <f t="shared" si="320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t="shared" ca="1" si="316"/>
        <v>0</v>
      </c>
      <c r="P521" s="47">
        <f t="shared" ca="1" si="317"/>
        <v>0</v>
      </c>
      <c r="Q521" s="47">
        <v>0</v>
      </c>
      <c r="R521" s="47">
        <v>0</v>
      </c>
      <c r="S521" s="47">
        <v>0</v>
      </c>
      <c r="T521" s="47">
        <f t="shared" si="319"/>
        <v>0</v>
      </c>
      <c r="U521" s="47">
        <f t="shared" si="320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7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7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28">I545</f>
        <v>0</v>
      </c>
      <c r="J533" s="818">
        <f t="shared" si="328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29">L535+L536</f>
        <v>0</v>
      </c>
      <c r="M534" s="133">
        <f t="shared" ca="1" si="329"/>
        <v>0</v>
      </c>
      <c r="N534" s="133">
        <f t="shared" ca="1" si="329"/>
        <v>0</v>
      </c>
      <c r="O534" s="133">
        <f t="shared" ref="O534:O542" ca="1" si="330">IF(L534&gt;0,N534*100/L534,0)</f>
        <v>0</v>
      </c>
      <c r="P534" s="133">
        <f t="shared" ref="P534:P542" ca="1" si="331">IF(M534&gt;0,N534*100/M534,0)</f>
        <v>0</v>
      </c>
      <c r="Q534" s="133">
        <f t="shared" ref="Q534:S534" si="332">Q535+Q536</f>
        <v>0</v>
      </c>
      <c r="R534" s="133">
        <f t="shared" si="332"/>
        <v>0</v>
      </c>
      <c r="S534" s="133">
        <f t="shared" si="332"/>
        <v>0</v>
      </c>
      <c r="T534" s="133">
        <f t="shared" ref="T534:T542" si="333">IF(Q534&gt;0,S534*100/Q534,0)</f>
        <v>0</v>
      </c>
      <c r="U534" s="133">
        <f t="shared" ref="U534:U542" si="334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5">L538+L541</f>
        <v>0</v>
      </c>
      <c r="M535" s="49">
        <f t="shared" si="335"/>
        <v>0</v>
      </c>
      <c r="N535" s="49">
        <f t="shared" si="335"/>
        <v>0</v>
      </c>
      <c r="O535" s="49">
        <f t="shared" si="330"/>
        <v>0</v>
      </c>
      <c r="P535" s="49">
        <f t="shared" si="331"/>
        <v>0</v>
      </c>
      <c r="Q535" s="49">
        <f t="shared" ref="Q535:S536" si="336">Q538+Q541</f>
        <v>0</v>
      </c>
      <c r="R535" s="49">
        <f t="shared" si="336"/>
        <v>0</v>
      </c>
      <c r="S535" s="49">
        <f t="shared" si="336"/>
        <v>0</v>
      </c>
      <c r="T535" s="49">
        <f t="shared" si="333"/>
        <v>0</v>
      </c>
      <c r="U535" s="49">
        <f t="shared" si="334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5"/>
        <v>0</v>
      </c>
      <c r="M536" s="47">
        <f t="shared" ca="1" si="335"/>
        <v>0</v>
      </c>
      <c r="N536" s="47">
        <f t="shared" ca="1" si="335"/>
        <v>0</v>
      </c>
      <c r="O536" s="47">
        <f t="shared" ca="1" si="330"/>
        <v>0</v>
      </c>
      <c r="P536" s="47">
        <f t="shared" ca="1" si="331"/>
        <v>0</v>
      </c>
      <c r="Q536" s="47">
        <f t="shared" si="336"/>
        <v>0</v>
      </c>
      <c r="R536" s="47">
        <f t="shared" si="336"/>
        <v>0</v>
      </c>
      <c r="S536" s="47">
        <f t="shared" si="336"/>
        <v>0</v>
      </c>
      <c r="T536" s="47">
        <f t="shared" si="333"/>
        <v>0</v>
      </c>
      <c r="U536" s="47">
        <f t="shared" si="334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7">L538+L539</f>
        <v>0</v>
      </c>
      <c r="M537" s="47">
        <f t="shared" ca="1" si="337"/>
        <v>0</v>
      </c>
      <c r="N537" s="47">
        <f t="shared" ca="1" si="337"/>
        <v>0</v>
      </c>
      <c r="O537" s="47">
        <f t="shared" ca="1" si="330"/>
        <v>0</v>
      </c>
      <c r="P537" s="47">
        <f t="shared" ca="1" si="331"/>
        <v>0</v>
      </c>
      <c r="Q537" s="47">
        <f t="shared" ref="Q537:S537" si="338">Q538+Q539</f>
        <v>0</v>
      </c>
      <c r="R537" s="47">
        <f t="shared" si="338"/>
        <v>0</v>
      </c>
      <c r="S537" s="47">
        <f t="shared" si="338"/>
        <v>0</v>
      </c>
      <c r="T537" s="47">
        <f t="shared" si="333"/>
        <v>0</v>
      </c>
      <c r="U537" s="47">
        <f t="shared" si="334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0"/>
        <v>0</v>
      </c>
      <c r="P538" s="49">
        <f t="shared" si="331"/>
        <v>0</v>
      </c>
      <c r="Q538" s="49">
        <v>0</v>
      </c>
      <c r="R538" s="49">
        <v>0</v>
      </c>
      <c r="S538" s="49">
        <v>0</v>
      </c>
      <c r="T538" s="49">
        <f t="shared" si="333"/>
        <v>0</v>
      </c>
      <c r="U538" s="49">
        <f t="shared" si="334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t="shared" ca="1" si="330"/>
        <v>0</v>
      </c>
      <c r="P539" s="47">
        <f t="shared" ca="1" si="331"/>
        <v>0</v>
      </c>
      <c r="Q539" s="47">
        <v>0</v>
      </c>
      <c r="R539" s="47">
        <v>0</v>
      </c>
      <c r="S539" s="47">
        <v>0</v>
      </c>
      <c r="T539" s="47">
        <f t="shared" si="333"/>
        <v>0</v>
      </c>
      <c r="U539" s="47">
        <f t="shared" si="334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39">L541+L542</f>
        <v>0</v>
      </c>
      <c r="M540" s="47">
        <f t="shared" ca="1" si="339"/>
        <v>0</v>
      </c>
      <c r="N540" s="47">
        <f t="shared" ca="1" si="339"/>
        <v>0</v>
      </c>
      <c r="O540" s="47">
        <f t="shared" ca="1" si="330"/>
        <v>0</v>
      </c>
      <c r="P540" s="47">
        <f t="shared" ca="1" si="331"/>
        <v>0</v>
      </c>
      <c r="Q540" s="47">
        <f t="shared" ref="Q540:S540" si="340">Q541+Q542</f>
        <v>0</v>
      </c>
      <c r="R540" s="47">
        <f t="shared" si="340"/>
        <v>0</v>
      </c>
      <c r="S540" s="47">
        <f t="shared" si="340"/>
        <v>0</v>
      </c>
      <c r="T540" s="47">
        <f t="shared" si="333"/>
        <v>0</v>
      </c>
      <c r="U540" s="47">
        <f t="shared" si="334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0"/>
        <v>0</v>
      </c>
      <c r="P541" s="49">
        <f t="shared" si="331"/>
        <v>0</v>
      </c>
      <c r="Q541" s="49">
        <v>0</v>
      </c>
      <c r="R541" s="49">
        <v>0</v>
      </c>
      <c r="S541" s="49">
        <v>0</v>
      </c>
      <c r="T541" s="49">
        <f t="shared" si="333"/>
        <v>0</v>
      </c>
      <c r="U541" s="49">
        <f t="shared" si="334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t="shared" ca="1" si="330"/>
        <v>0</v>
      </c>
      <c r="P542" s="47">
        <f t="shared" ca="1" si="331"/>
        <v>0</v>
      </c>
      <c r="Q542" s="47">
        <v>0</v>
      </c>
      <c r="R542" s="47">
        <v>0</v>
      </c>
      <c r="S542" s="47">
        <v>0</v>
      </c>
      <c r="T542" s="47">
        <f t="shared" si="333"/>
        <v>0</v>
      </c>
      <c r="U542" s="47">
        <f t="shared" si="334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1">I566</f>
        <v>0</v>
      </c>
      <c r="J554" s="818">
        <f t="shared" si="341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2">L556+L557</f>
        <v>0</v>
      </c>
      <c r="M555" s="133">
        <f t="shared" ca="1" si="342"/>
        <v>0</v>
      </c>
      <c r="N555" s="133">
        <f t="shared" ca="1" si="342"/>
        <v>0</v>
      </c>
      <c r="O555" s="133">
        <f t="shared" ref="O555:O563" ca="1" si="343">IF(L555&gt;0,N555*100/L555,0)</f>
        <v>0</v>
      </c>
      <c r="P555" s="133">
        <f t="shared" ref="P555:P563" ca="1" si="344">IF(M555&gt;0,N555*100/M555,0)</f>
        <v>0</v>
      </c>
      <c r="Q555" s="133">
        <f t="shared" ref="Q555:S555" si="345">Q556+Q557</f>
        <v>0</v>
      </c>
      <c r="R555" s="133">
        <f t="shared" si="345"/>
        <v>0</v>
      </c>
      <c r="S555" s="133">
        <f t="shared" si="345"/>
        <v>0</v>
      </c>
      <c r="T555" s="133">
        <f t="shared" ref="T555:T563" si="346">IF(Q555&gt;0,S555*100/Q555,0)</f>
        <v>0</v>
      </c>
      <c r="U555" s="133">
        <f t="shared" ref="U555:U563" si="347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48">L559+L562</f>
        <v>0</v>
      </c>
      <c r="M556" s="49">
        <f t="shared" si="348"/>
        <v>0</v>
      </c>
      <c r="N556" s="49">
        <f t="shared" si="348"/>
        <v>0</v>
      </c>
      <c r="O556" s="49">
        <f t="shared" si="343"/>
        <v>0</v>
      </c>
      <c r="P556" s="49">
        <f t="shared" si="344"/>
        <v>0</v>
      </c>
      <c r="Q556" s="49">
        <f t="shared" ref="Q556:S557" si="349">Q559+Q562</f>
        <v>0</v>
      </c>
      <c r="R556" s="49">
        <f t="shared" si="349"/>
        <v>0</v>
      </c>
      <c r="S556" s="49">
        <f t="shared" si="349"/>
        <v>0</v>
      </c>
      <c r="T556" s="49">
        <f t="shared" si="346"/>
        <v>0</v>
      </c>
      <c r="U556" s="49">
        <f t="shared" si="347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48"/>
        <v>0</v>
      </c>
      <c r="M557" s="47">
        <f t="shared" ca="1" si="348"/>
        <v>0</v>
      </c>
      <c r="N557" s="47">
        <f t="shared" ca="1" si="348"/>
        <v>0</v>
      </c>
      <c r="O557" s="47">
        <f t="shared" ca="1" si="343"/>
        <v>0</v>
      </c>
      <c r="P557" s="47">
        <f t="shared" ca="1" si="344"/>
        <v>0</v>
      </c>
      <c r="Q557" s="47">
        <f t="shared" si="349"/>
        <v>0</v>
      </c>
      <c r="R557" s="47">
        <f t="shared" si="349"/>
        <v>0</v>
      </c>
      <c r="S557" s="47">
        <f t="shared" si="349"/>
        <v>0</v>
      </c>
      <c r="T557" s="47">
        <f t="shared" si="346"/>
        <v>0</v>
      </c>
      <c r="U557" s="47">
        <f t="shared" si="347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0">L559+L560</f>
        <v>0</v>
      </c>
      <c r="M558" s="47">
        <f t="shared" ca="1" si="350"/>
        <v>0</v>
      </c>
      <c r="N558" s="47">
        <f t="shared" ca="1" si="350"/>
        <v>0</v>
      </c>
      <c r="O558" s="47">
        <f t="shared" ca="1" si="343"/>
        <v>0</v>
      </c>
      <c r="P558" s="47">
        <f t="shared" ca="1" si="344"/>
        <v>0</v>
      </c>
      <c r="Q558" s="47">
        <f t="shared" ref="Q558:S558" si="351">Q559+Q560</f>
        <v>0</v>
      </c>
      <c r="R558" s="47">
        <f t="shared" si="351"/>
        <v>0</v>
      </c>
      <c r="S558" s="47">
        <f t="shared" si="351"/>
        <v>0</v>
      </c>
      <c r="T558" s="47">
        <f t="shared" si="346"/>
        <v>0</v>
      </c>
      <c r="U558" s="47">
        <f t="shared" si="347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3"/>
        <v>0</v>
      </c>
      <c r="P559" s="49">
        <f t="shared" si="344"/>
        <v>0</v>
      </c>
      <c r="Q559" s="49">
        <v>0</v>
      </c>
      <c r="R559" s="49">
        <v>0</v>
      </c>
      <c r="S559" s="49">
        <v>0</v>
      </c>
      <c r="T559" s="49">
        <f t="shared" si="346"/>
        <v>0</v>
      </c>
      <c r="U559" s="49">
        <f t="shared" si="347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t="shared" ca="1" si="343"/>
        <v>0</v>
      </c>
      <c r="P560" s="47">
        <f t="shared" ca="1" si="344"/>
        <v>0</v>
      </c>
      <c r="Q560" s="47">
        <v>0</v>
      </c>
      <c r="R560" s="47">
        <v>0</v>
      </c>
      <c r="S560" s="47">
        <v>0</v>
      </c>
      <c r="T560" s="47">
        <f t="shared" si="346"/>
        <v>0</v>
      </c>
      <c r="U560" s="47">
        <f t="shared" si="347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2">L562+L563</f>
        <v>0</v>
      </c>
      <c r="M561" s="47">
        <f t="shared" ca="1" si="352"/>
        <v>0</v>
      </c>
      <c r="N561" s="47">
        <f t="shared" ca="1" si="352"/>
        <v>0</v>
      </c>
      <c r="O561" s="47">
        <f t="shared" ca="1" si="343"/>
        <v>0</v>
      </c>
      <c r="P561" s="47">
        <f t="shared" ca="1" si="344"/>
        <v>0</v>
      </c>
      <c r="Q561" s="47">
        <f t="shared" ref="Q561:S561" si="353">Q562+Q563</f>
        <v>0</v>
      </c>
      <c r="R561" s="47">
        <f t="shared" si="353"/>
        <v>0</v>
      </c>
      <c r="S561" s="47">
        <f t="shared" si="353"/>
        <v>0</v>
      </c>
      <c r="T561" s="47">
        <f t="shared" si="346"/>
        <v>0</v>
      </c>
      <c r="U561" s="47">
        <f t="shared" si="347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3"/>
        <v>0</v>
      </c>
      <c r="P562" s="49">
        <f t="shared" si="344"/>
        <v>0</v>
      </c>
      <c r="Q562" s="49">
        <v>0</v>
      </c>
      <c r="R562" s="49">
        <v>0</v>
      </c>
      <c r="S562" s="49">
        <v>0</v>
      </c>
      <c r="T562" s="49">
        <f t="shared" si="346"/>
        <v>0</v>
      </c>
      <c r="U562" s="49">
        <f t="shared" si="347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t="shared" ca="1" si="343"/>
        <v>0</v>
      </c>
      <c r="P563" s="47">
        <f t="shared" ca="1" si="344"/>
        <v>0</v>
      </c>
      <c r="Q563" s="47">
        <v>0</v>
      </c>
      <c r="R563" s="47">
        <v>0</v>
      </c>
      <c r="S563" s="47">
        <v>0</v>
      </c>
      <c r="T563" s="47">
        <f t="shared" si="346"/>
        <v>0</v>
      </c>
      <c r="U563" s="47">
        <f t="shared" si="347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si="354">I587</f>
        <v>16</v>
      </c>
      <c r="J575" s="408">
        <f t="shared" si="354"/>
        <v>16</v>
      </c>
      <c r="K575" s="400">
        <f>IF(I575&gt;0,J575*100/I575,0)</f>
        <v>100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200"/>
      <c r="C576" s="40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5">L577+L578</f>
        <v>796469</v>
      </c>
      <c r="M576" s="133">
        <f t="shared" ca="1" si="355"/>
        <v>796469</v>
      </c>
      <c r="N576" s="133">
        <f t="shared" ca="1" si="355"/>
        <v>409884</v>
      </c>
      <c r="O576" s="133">
        <f t="shared" ref="O576:O584" ca="1" si="356">IF(L576&gt;0,N576*100/L576,0)</f>
        <v>51.462643241607644</v>
      </c>
      <c r="P576" s="133">
        <f t="shared" ref="P576:P584" ca="1" si="357">IF(M576&gt;0,N576*100/M576,0)</f>
        <v>51.462643241607644</v>
      </c>
      <c r="Q576" s="133">
        <f t="shared" ref="Q576:S576" si="358">Q577+Q578</f>
        <v>0</v>
      </c>
      <c r="R576" s="133">
        <f t="shared" si="358"/>
        <v>0</v>
      </c>
      <c r="S576" s="133">
        <f t="shared" si="358"/>
        <v>0</v>
      </c>
      <c r="T576" s="133">
        <f t="shared" ref="T576:T584" si="359">IF(Q576&gt;0,S576*100/Q576,0)</f>
        <v>0</v>
      </c>
      <c r="U576" s="133">
        <f t="shared" ref="U576:U584" si="360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1">L580+L583</f>
        <v>0</v>
      </c>
      <c r="M577" s="49">
        <f t="shared" si="361"/>
        <v>0</v>
      </c>
      <c r="N577" s="49">
        <f t="shared" si="361"/>
        <v>0</v>
      </c>
      <c r="O577" s="49">
        <f t="shared" si="356"/>
        <v>0</v>
      </c>
      <c r="P577" s="49">
        <f t="shared" si="357"/>
        <v>0</v>
      </c>
      <c r="Q577" s="49">
        <f t="shared" ref="Q577:S578" si="362">Q580+Q583</f>
        <v>0</v>
      </c>
      <c r="R577" s="49">
        <f t="shared" si="362"/>
        <v>0</v>
      </c>
      <c r="S577" s="49">
        <f t="shared" si="362"/>
        <v>0</v>
      </c>
      <c r="T577" s="49">
        <f t="shared" si="359"/>
        <v>0</v>
      </c>
      <c r="U577" s="49">
        <f t="shared" si="360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1"/>
        <v>796469</v>
      </c>
      <c r="M578" s="47">
        <f t="shared" ca="1" si="361"/>
        <v>796469</v>
      </c>
      <c r="N578" s="47">
        <f t="shared" ca="1" si="361"/>
        <v>409884</v>
      </c>
      <c r="O578" s="47">
        <f t="shared" ca="1" si="356"/>
        <v>51.462643241607644</v>
      </c>
      <c r="P578" s="47">
        <f t="shared" ca="1" si="357"/>
        <v>51.462643241607644</v>
      </c>
      <c r="Q578" s="47">
        <f t="shared" si="362"/>
        <v>0</v>
      </c>
      <c r="R578" s="47">
        <f t="shared" si="362"/>
        <v>0</v>
      </c>
      <c r="S578" s="47">
        <f t="shared" si="362"/>
        <v>0</v>
      </c>
      <c r="T578" s="47">
        <f t="shared" si="359"/>
        <v>0</v>
      </c>
      <c r="U578" s="47">
        <f t="shared" si="360"/>
        <v>0</v>
      </c>
    </row>
    <row r="579" spans="1:21" ht="18.75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3">L580+L581</f>
        <v>796469</v>
      </c>
      <c r="M579" s="47">
        <f t="shared" ca="1" si="363"/>
        <v>796469</v>
      </c>
      <c r="N579" s="47">
        <f t="shared" ca="1" si="363"/>
        <v>409884</v>
      </c>
      <c r="O579" s="47">
        <f t="shared" ca="1" si="356"/>
        <v>51.462643241607644</v>
      </c>
      <c r="P579" s="47">
        <f t="shared" ca="1" si="357"/>
        <v>51.462643241607644</v>
      </c>
      <c r="Q579" s="47">
        <f t="shared" ref="Q579:S579" si="364">Q580+Q581</f>
        <v>0</v>
      </c>
      <c r="R579" s="47">
        <f t="shared" si="364"/>
        <v>0</v>
      </c>
      <c r="S579" s="47">
        <f t="shared" si="364"/>
        <v>0</v>
      </c>
      <c r="T579" s="47">
        <f t="shared" si="359"/>
        <v>0</v>
      </c>
      <c r="U579" s="47">
        <f t="shared" si="360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6"/>
        <v>0</v>
      </c>
      <c r="P580" s="49">
        <f t="shared" si="357"/>
        <v>0</v>
      </c>
      <c r="Q580" s="49">
        <v>0</v>
      </c>
      <c r="R580" s="49">
        <v>0</v>
      </c>
      <c r="S580" s="49">
        <v>0</v>
      </c>
      <c r="T580" s="49">
        <f t="shared" si="359"/>
        <v>0</v>
      </c>
      <c r="U580" s="49">
        <f t="shared" si="360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IFERROR(__xludf.DUMMYFUNCTION("IMPORTRANGE(""https://docs.google.com/spreadsheets/d/1-uDff_7J0KD5mKrp0Vvzr7lt3OU09vwQwhkpOPPYv2Y/edit?usp=sharing"",""งบพรบ!GV78"")"),796469)</f>
        <v>796469</v>
      </c>
      <c r="N581" s="47">
        <f ca="1">IFERROR(__xludf.DUMMYFUNCTION("IMPORTRANGE(""https://docs.google.com/spreadsheets/d/1-uDff_7J0KD5mKrp0Vvzr7lt3OU09vwQwhkpOPPYv2Y/edit?usp=sharing"",""งบพรบ!GX78"")"),409884)</f>
        <v>409884</v>
      </c>
      <c r="O581" s="47">
        <f t="shared" ca="1" si="356"/>
        <v>51.462643241607644</v>
      </c>
      <c r="P581" s="47">
        <f t="shared" ca="1" si="357"/>
        <v>51.462643241607644</v>
      </c>
      <c r="Q581" s="47">
        <v>0</v>
      </c>
      <c r="R581" s="47">
        <v>0</v>
      </c>
      <c r="S581" s="47">
        <v>0</v>
      </c>
      <c r="T581" s="47">
        <f t="shared" si="359"/>
        <v>0</v>
      </c>
      <c r="U581" s="47">
        <f t="shared" si="360"/>
        <v>0</v>
      </c>
    </row>
    <row r="582" spans="1:21" ht="18.75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5">L583+L584</f>
        <v>0</v>
      </c>
      <c r="M582" s="47">
        <f t="shared" ca="1" si="365"/>
        <v>0</v>
      </c>
      <c r="N582" s="47">
        <f t="shared" ca="1" si="365"/>
        <v>0</v>
      </c>
      <c r="O582" s="47">
        <f t="shared" ca="1" si="356"/>
        <v>0</v>
      </c>
      <c r="P582" s="47">
        <f t="shared" ca="1" si="357"/>
        <v>0</v>
      </c>
      <c r="Q582" s="47">
        <f t="shared" ref="Q582:S582" si="366">Q583+Q584</f>
        <v>0</v>
      </c>
      <c r="R582" s="47">
        <f t="shared" si="366"/>
        <v>0</v>
      </c>
      <c r="S582" s="47">
        <f t="shared" si="366"/>
        <v>0</v>
      </c>
      <c r="T582" s="47">
        <f t="shared" si="359"/>
        <v>0</v>
      </c>
      <c r="U582" s="47">
        <f t="shared" si="360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6"/>
        <v>0</v>
      </c>
      <c r="P583" s="49">
        <f t="shared" si="357"/>
        <v>0</v>
      </c>
      <c r="Q583" s="49">
        <v>0</v>
      </c>
      <c r="R583" s="49">
        <v>0</v>
      </c>
      <c r="S583" s="49">
        <v>0</v>
      </c>
      <c r="T583" s="49">
        <f t="shared" si="359"/>
        <v>0</v>
      </c>
      <c r="U583" s="49">
        <f t="shared" si="360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t="shared" ca="1" si="356"/>
        <v>0</v>
      </c>
      <c r="P584" s="47">
        <f t="shared" ca="1" si="357"/>
        <v>0</v>
      </c>
      <c r="Q584" s="47">
        <v>0</v>
      </c>
      <c r="R584" s="47">
        <v>0</v>
      </c>
      <c r="S584" s="47">
        <v>0</v>
      </c>
      <c r="T584" s="47">
        <f t="shared" si="359"/>
        <v>0</v>
      </c>
      <c r="U584" s="47">
        <f t="shared" si="360"/>
        <v>0</v>
      </c>
    </row>
    <row r="585" spans="1:21" ht="19.5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412">
        <v>2</v>
      </c>
      <c r="J586" s="178">
        <v>0</v>
      </c>
      <c r="K586" s="179">
        <f t="shared" ref="K586:K587" si="367">IF(I586&gt;0,J586*100/I586,0)</f>
        <v>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200"/>
      <c r="C587" s="160"/>
      <c r="D587" s="271" t="s">
        <v>219</v>
      </c>
      <c r="E587" s="160"/>
      <c r="F587" s="200"/>
      <c r="G587" s="43"/>
      <c r="H587" s="44" t="s">
        <v>61</v>
      </c>
      <c r="I587" s="372">
        <v>16</v>
      </c>
      <c r="J587" s="169">
        <v>16</v>
      </c>
      <c r="K587" s="47">
        <f t="shared" si="367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879"/>
      <c r="B588" s="880"/>
      <c r="C588" s="880"/>
      <c r="D588" s="881"/>
      <c r="E588" s="881"/>
      <c r="F588" s="881"/>
      <c r="G588" s="882"/>
      <c r="H588" s="883"/>
      <c r="I588" s="884"/>
      <c r="J588" s="884"/>
      <c r="K588" s="885"/>
      <c r="L588" s="886"/>
      <c r="M588" s="885"/>
      <c r="N588" s="885"/>
      <c r="O588" s="885"/>
      <c r="P588" s="885"/>
      <c r="Q588" s="885"/>
      <c r="R588" s="885"/>
      <c r="S588" s="885"/>
      <c r="T588" s="885"/>
      <c r="U588" s="885"/>
    </row>
    <row r="589" spans="1:21" ht="12.75" hidden="1" x14ac:dyDescent="0.2">
      <c r="A589" s="879"/>
      <c r="B589" s="880"/>
      <c r="C589" s="880"/>
      <c r="D589" s="881"/>
      <c r="E589" s="881"/>
      <c r="F589" s="881"/>
      <c r="G589" s="882"/>
      <c r="H589" s="883"/>
      <c r="I589" s="884"/>
      <c r="J589" s="884"/>
      <c r="K589" s="885"/>
      <c r="L589" s="886"/>
      <c r="M589" s="885"/>
      <c r="N589" s="885"/>
      <c r="O589" s="885"/>
      <c r="P589" s="885"/>
      <c r="Q589" s="885"/>
      <c r="R589" s="885"/>
      <c r="S589" s="885"/>
      <c r="T589" s="885"/>
      <c r="U589" s="885"/>
    </row>
    <row r="590" spans="1:21" ht="12.75" hidden="1" x14ac:dyDescent="0.2">
      <c r="A590" s="879"/>
      <c r="B590" s="880"/>
      <c r="C590" s="880"/>
      <c r="D590" s="881"/>
      <c r="E590" s="881"/>
      <c r="F590" s="881"/>
      <c r="G590" s="882"/>
      <c r="H590" s="883"/>
      <c r="I590" s="884"/>
      <c r="J590" s="884"/>
      <c r="K590" s="885"/>
      <c r="L590" s="886"/>
      <c r="M590" s="885"/>
      <c r="N590" s="885"/>
      <c r="O590" s="885"/>
      <c r="P590" s="885"/>
      <c r="Q590" s="885"/>
      <c r="R590" s="885"/>
      <c r="S590" s="885"/>
      <c r="T590" s="885"/>
      <c r="U590" s="885"/>
    </row>
    <row r="591" spans="1:21" ht="12.75" hidden="1" x14ac:dyDescent="0.2">
      <c r="A591" s="879"/>
      <c r="B591" s="880"/>
      <c r="C591" s="880"/>
      <c r="D591" s="881"/>
      <c r="E591" s="881"/>
      <c r="F591" s="881"/>
      <c r="G591" s="882"/>
      <c r="H591" s="883"/>
      <c r="I591" s="884"/>
      <c r="J591" s="884"/>
      <c r="K591" s="885"/>
      <c r="L591" s="886"/>
      <c r="M591" s="885"/>
      <c r="N591" s="885"/>
      <c r="O591" s="885"/>
      <c r="P591" s="885"/>
      <c r="Q591" s="885"/>
      <c r="R591" s="885"/>
      <c r="S591" s="885"/>
      <c r="T591" s="885"/>
      <c r="U591" s="885"/>
    </row>
    <row r="592" spans="1:21" ht="12.75" hidden="1" x14ac:dyDescent="0.2">
      <c r="A592" s="879"/>
      <c r="B592" s="880"/>
      <c r="C592" s="880"/>
      <c r="D592" s="881"/>
      <c r="E592" s="881"/>
      <c r="F592" s="881"/>
      <c r="G592" s="882"/>
      <c r="H592" s="883"/>
      <c r="I592" s="884"/>
      <c r="J592" s="884"/>
      <c r="K592" s="885"/>
      <c r="L592" s="886"/>
      <c r="M592" s="885"/>
      <c r="N592" s="885"/>
      <c r="O592" s="885"/>
      <c r="P592" s="885"/>
      <c r="Q592" s="885"/>
      <c r="R592" s="885"/>
      <c r="S592" s="885"/>
      <c r="T592" s="885"/>
      <c r="U592" s="885"/>
    </row>
    <row r="593" spans="1:21" ht="12.75" hidden="1" x14ac:dyDescent="0.2">
      <c r="A593" s="879"/>
      <c r="B593" s="880"/>
      <c r="C593" s="880"/>
      <c r="D593" s="881"/>
      <c r="E593" s="881"/>
      <c r="F593" s="881"/>
      <c r="G593" s="882"/>
      <c r="H593" s="883"/>
      <c r="I593" s="884"/>
      <c r="J593" s="884"/>
      <c r="K593" s="885"/>
      <c r="L593" s="886"/>
      <c r="M593" s="885"/>
      <c r="N593" s="885"/>
      <c r="O593" s="885"/>
      <c r="P593" s="885"/>
      <c r="Q593" s="885"/>
      <c r="R593" s="885"/>
      <c r="S593" s="885"/>
      <c r="T593" s="885"/>
      <c r="U593" s="885"/>
    </row>
    <row r="594" spans="1:21" ht="12.75" hidden="1" x14ac:dyDescent="0.2">
      <c r="A594" s="879"/>
      <c r="B594" s="880"/>
      <c r="C594" s="880"/>
      <c r="D594" s="881"/>
      <c r="E594" s="881"/>
      <c r="F594" s="881"/>
      <c r="G594" s="882"/>
      <c r="H594" s="883"/>
      <c r="I594" s="884"/>
      <c r="J594" s="884"/>
      <c r="K594" s="885"/>
      <c r="L594" s="886"/>
      <c r="M594" s="885"/>
      <c r="N594" s="885"/>
      <c r="O594" s="885"/>
      <c r="P594" s="885"/>
      <c r="Q594" s="885"/>
      <c r="R594" s="885"/>
      <c r="S594" s="885"/>
      <c r="T594" s="885"/>
      <c r="U594" s="885"/>
    </row>
    <row r="595" spans="1:21" ht="12.75" hidden="1" x14ac:dyDescent="0.2">
      <c r="A595" s="887"/>
      <c r="B595" s="888"/>
      <c r="C595" s="888"/>
      <c r="D595" s="889"/>
      <c r="E595" s="889"/>
      <c r="F595" s="889"/>
      <c r="G595" s="890"/>
      <c r="H595" s="891"/>
      <c r="I595" s="892"/>
      <c r="J595" s="892"/>
      <c r="K595" s="893"/>
      <c r="L595" s="894"/>
      <c r="M595" s="893"/>
      <c r="N595" s="893"/>
      <c r="O595" s="893"/>
      <c r="P595" s="893"/>
      <c r="Q595" s="893"/>
      <c r="R595" s="893"/>
      <c r="S595" s="893"/>
      <c r="T595" s="893"/>
      <c r="U595" s="893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37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68">L600+L601</f>
        <v>13068</v>
      </c>
      <c r="M599" s="441">
        <f t="shared" ca="1" si="368"/>
        <v>13068</v>
      </c>
      <c r="N599" s="441">
        <f t="shared" ca="1" si="368"/>
        <v>13068</v>
      </c>
      <c r="O599" s="441">
        <f t="shared" ref="O599:O607" ca="1" si="369">IF(L599&gt;0,N599*100/L599,0)</f>
        <v>100</v>
      </c>
      <c r="P599" s="441">
        <f t="shared" ref="P599:P607" ca="1" si="370">IF(M599&gt;0,N599*100/M599,0)</f>
        <v>100</v>
      </c>
      <c r="Q599" s="441">
        <f t="shared" ref="Q599:S599" ca="1" si="371">Q600+Q601</f>
        <v>0</v>
      </c>
      <c r="R599" s="441">
        <f t="shared" ca="1" si="371"/>
        <v>0</v>
      </c>
      <c r="S599" s="441">
        <f t="shared" ca="1" si="371"/>
        <v>0</v>
      </c>
      <c r="T599" s="441">
        <f t="shared" ref="T599:T607" ca="1" si="372">IF(Q599&gt;0,S599*100/Q599,0)</f>
        <v>0</v>
      </c>
      <c r="U599" s="441">
        <f t="shared" ref="U599:U607" ca="1" si="373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4">L603+L606</f>
        <v>0</v>
      </c>
      <c r="M600" s="352">
        <f t="shared" si="374"/>
        <v>0</v>
      </c>
      <c r="N600" s="352">
        <f t="shared" si="374"/>
        <v>0</v>
      </c>
      <c r="O600" s="352">
        <f t="shared" si="369"/>
        <v>0</v>
      </c>
      <c r="P600" s="352">
        <f t="shared" si="370"/>
        <v>0</v>
      </c>
      <c r="Q600" s="352">
        <f t="shared" ref="Q600:S601" si="375">Q603+Q606</f>
        <v>0</v>
      </c>
      <c r="R600" s="352">
        <f t="shared" si="375"/>
        <v>0</v>
      </c>
      <c r="S600" s="352">
        <f t="shared" si="375"/>
        <v>0</v>
      </c>
      <c r="T600" s="352">
        <f t="shared" si="372"/>
        <v>0</v>
      </c>
      <c r="U600" s="352">
        <f t="shared" si="373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4"/>
        <v>13068</v>
      </c>
      <c r="M601" s="352">
        <f t="shared" ca="1" si="374"/>
        <v>13068</v>
      </c>
      <c r="N601" s="352">
        <f t="shared" ca="1" si="374"/>
        <v>13068</v>
      </c>
      <c r="O601" s="352">
        <f t="shared" ca="1" si="369"/>
        <v>100</v>
      </c>
      <c r="P601" s="352">
        <f t="shared" ca="1" si="370"/>
        <v>100</v>
      </c>
      <c r="Q601" s="352">
        <f t="shared" ca="1" si="375"/>
        <v>0</v>
      </c>
      <c r="R601" s="352">
        <f t="shared" ca="1" si="375"/>
        <v>0</v>
      </c>
      <c r="S601" s="352">
        <f t="shared" ca="1" si="375"/>
        <v>0</v>
      </c>
      <c r="T601" s="352">
        <f t="shared" ca="1" si="372"/>
        <v>0</v>
      </c>
      <c r="U601" s="352">
        <f t="shared" ca="1" si="373"/>
        <v>0</v>
      </c>
    </row>
    <row r="602" spans="1:21" ht="18.75" x14ac:dyDescent="0.25">
      <c r="A602" s="436"/>
      <c r="B602" s="347"/>
      <c r="C602" s="347"/>
      <c r="D602" s="693" t="s">
        <v>22</v>
      </c>
      <c r="E602" s="444"/>
      <c r="F602" s="444"/>
      <c r="G602" s="445"/>
      <c r="H602" s="446" t="s">
        <v>14</v>
      </c>
      <c r="I602" s="448"/>
      <c r="J602" s="448"/>
      <c r="K602" s="449"/>
      <c r="L602" s="692">
        <f t="shared" ref="L602:N602" ca="1" si="376">L603+L604</f>
        <v>13068</v>
      </c>
      <c r="M602" s="352">
        <f t="shared" ca="1" si="376"/>
        <v>13068</v>
      </c>
      <c r="N602" s="352">
        <f t="shared" ca="1" si="376"/>
        <v>13068</v>
      </c>
      <c r="O602" s="352">
        <f t="shared" ca="1" si="369"/>
        <v>100</v>
      </c>
      <c r="P602" s="352">
        <f t="shared" ca="1" si="370"/>
        <v>100</v>
      </c>
      <c r="Q602" s="352">
        <f t="shared" ref="Q602:S602" ca="1" si="377">Q603+Q604</f>
        <v>0</v>
      </c>
      <c r="R602" s="352">
        <f t="shared" ca="1" si="377"/>
        <v>0</v>
      </c>
      <c r="S602" s="352">
        <f t="shared" ca="1" si="377"/>
        <v>0</v>
      </c>
      <c r="T602" s="352">
        <f t="shared" ca="1" si="372"/>
        <v>0</v>
      </c>
      <c r="U602" s="352">
        <f t="shared" ca="1" si="373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69"/>
        <v>0</v>
      </c>
      <c r="P603" s="352">
        <f t="shared" si="370"/>
        <v>0</v>
      </c>
      <c r="Q603" s="352">
        <v>0</v>
      </c>
      <c r="R603" s="352">
        <v>0</v>
      </c>
      <c r="S603" s="352">
        <v>0</v>
      </c>
      <c r="T603" s="352">
        <f t="shared" si="372"/>
        <v>0</v>
      </c>
      <c r="U603" s="352">
        <f t="shared" si="373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IFERROR(__xludf.DUMMYFUNCTION("IMPORTRANGE(""https://docs.google.com/spreadsheets/d/1-uDff_7J0KD5mKrp0Vvzr7lt3OU09vwQwhkpOPPYv2Y/edit?usp=sharing"",""งบพรบ!HK78"")"),13068)</f>
        <v>13068</v>
      </c>
      <c r="M604" s="352">
        <f ca="1">IFERROR(__xludf.DUMMYFUNCTION("IMPORTRANGE(""https://docs.google.com/spreadsheets/d/1-uDff_7J0KD5mKrp0Vvzr7lt3OU09vwQwhkpOPPYv2Y/edit?usp=sharing"",""งบพรบ!HP78"")"),13068)</f>
        <v>13068</v>
      </c>
      <c r="N604" s="352">
        <f ca="1">IFERROR(__xludf.DUMMYFUNCTION("IMPORTRANGE(""https://docs.google.com/spreadsheets/d/1-uDff_7J0KD5mKrp0Vvzr7lt3OU09vwQwhkpOPPYv2Y/edit?usp=sharing"",""งบพรบ!HR78"")"),13068)</f>
        <v>13068</v>
      </c>
      <c r="O604" s="352">
        <f t="shared" ca="1" si="369"/>
        <v>100</v>
      </c>
      <c r="P604" s="352">
        <f t="shared" ca="1" si="370"/>
        <v>100</v>
      </c>
      <c r="Q604" s="352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352">
        <f t="shared" ca="1" si="372"/>
        <v>0</v>
      </c>
      <c r="U604" s="352">
        <f t="shared" ca="1" si="373"/>
        <v>0</v>
      </c>
    </row>
    <row r="605" spans="1:21" ht="18.75" x14ac:dyDescent="0.25">
      <c r="A605" s="436"/>
      <c r="B605" s="347"/>
      <c r="C605" s="347"/>
      <c r="D605" s="693" t="s">
        <v>23</v>
      </c>
      <c r="E605" s="347"/>
      <c r="F605" s="444"/>
      <c r="G605" s="445"/>
      <c r="H605" s="451" t="s">
        <v>14</v>
      </c>
      <c r="I605" s="448"/>
      <c r="J605" s="448"/>
      <c r="K605" s="449"/>
      <c r="L605" s="692">
        <f t="shared" ref="L605:N605" ca="1" si="378">L606+L607</f>
        <v>0</v>
      </c>
      <c r="M605" s="352">
        <f t="shared" ca="1" si="378"/>
        <v>0</v>
      </c>
      <c r="N605" s="352">
        <f t="shared" ca="1" si="378"/>
        <v>0</v>
      </c>
      <c r="O605" s="352">
        <f t="shared" ca="1" si="369"/>
        <v>0</v>
      </c>
      <c r="P605" s="352">
        <f t="shared" ca="1" si="370"/>
        <v>0</v>
      </c>
      <c r="Q605" s="352">
        <f t="shared" ref="Q605:S605" ca="1" si="379">Q606+Q607</f>
        <v>0</v>
      </c>
      <c r="R605" s="352">
        <f t="shared" ca="1" si="379"/>
        <v>0</v>
      </c>
      <c r="S605" s="352">
        <f t="shared" ca="1" si="379"/>
        <v>0</v>
      </c>
      <c r="T605" s="352">
        <f t="shared" ca="1" si="372"/>
        <v>0</v>
      </c>
      <c r="U605" s="352">
        <f t="shared" ca="1" si="373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692">
        <v>0</v>
      </c>
      <c r="M606" s="352">
        <v>0</v>
      </c>
      <c r="N606" s="352">
        <v>0</v>
      </c>
      <c r="O606" s="352">
        <f t="shared" si="369"/>
        <v>0</v>
      </c>
      <c r="P606" s="352">
        <f t="shared" si="370"/>
        <v>0</v>
      </c>
      <c r="Q606" s="352">
        <v>0</v>
      </c>
      <c r="R606" s="352">
        <v>0</v>
      </c>
      <c r="S606" s="352">
        <v>0</v>
      </c>
      <c r="T606" s="352">
        <f t="shared" si="372"/>
        <v>0</v>
      </c>
      <c r="U606" s="352">
        <f t="shared" si="373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692">
        <f ca="1">IFERROR(__xludf.DUMMYFUNCTION("IMPORTRANGE(""https://docs.google.com/spreadsheets/d/1-uDff_7J0KD5mKrp0Vvzr7lt3OU09vwQwhkpOPPYv2Y/edit?usp=sharing"",""งบพรบ!HN78"")"),0)</f>
        <v>0</v>
      </c>
      <c r="M607" s="352">
        <f ca="1">IFERROR(__xludf.DUMMYFUNCTION("IMPORTRANGE(""https://docs.google.com/spreadsheets/d/1-uDff_7J0KD5mKrp0Vvzr7lt3OU09vwQwhkpOPPYv2Y/edit?usp=sharing"",""งบพรบ!HQ78"")"),0)</f>
        <v>0</v>
      </c>
      <c r="N607" s="352">
        <f ca="1">IFERROR(__xludf.DUMMYFUNCTION("IMPORTRANGE(""https://docs.google.com/spreadsheets/d/1-uDff_7J0KD5mKrp0Vvzr7lt3OU09vwQwhkpOPPYv2Y/edit?usp=sharing"",""งบพรบ!HS78"")"),0)</f>
        <v>0</v>
      </c>
      <c r="O607" s="352">
        <f t="shared" ca="1" si="369"/>
        <v>0</v>
      </c>
      <c r="P607" s="352">
        <f t="shared" ca="1" si="370"/>
        <v>0</v>
      </c>
      <c r="Q607" s="352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352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352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352">
        <f t="shared" ca="1" si="372"/>
        <v>0</v>
      </c>
      <c r="U607" s="352">
        <f t="shared" ca="1" si="373"/>
        <v>0</v>
      </c>
    </row>
    <row r="608" spans="1:21" ht="19.5" hidden="1" x14ac:dyDescent="0.3">
      <c r="A608" s="452"/>
      <c r="B608" s="453"/>
      <c r="C608" s="437" t="s">
        <v>18</v>
      </c>
      <c r="D608" s="694" t="s">
        <v>38</v>
      </c>
      <c r="E608" s="455"/>
      <c r="F608" s="455"/>
      <c r="G608" s="456"/>
      <c r="H608" s="457"/>
      <c r="I608" s="448"/>
      <c r="J608" s="448"/>
      <c r="K608" s="449"/>
      <c r="L608" s="742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hidden="1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742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hidden="1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742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hidden="1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742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9.5" hidden="1" thickBot="1" x14ac:dyDescent="0.3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896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0">I626</f>
        <v>100</v>
      </c>
      <c r="J615" s="488">
        <f t="shared" si="380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1">L617+L618</f>
        <v>0</v>
      </c>
      <c r="M616" s="133">
        <f t="shared" si="381"/>
        <v>0</v>
      </c>
      <c r="N616" s="133">
        <f t="shared" si="381"/>
        <v>0</v>
      </c>
      <c r="O616" s="133">
        <f t="shared" ref="O616:O624" si="382">IF(L616&gt;0,N616*100/L616,0)</f>
        <v>0</v>
      </c>
      <c r="P616" s="133">
        <f t="shared" ref="P616:P624" si="383">IF(M616&gt;0,N616*100/M616,0)</f>
        <v>0</v>
      </c>
      <c r="Q616" s="133">
        <f t="shared" ref="Q616:S616" ca="1" si="384">Q617+Q618</f>
        <v>12675</v>
      </c>
      <c r="R616" s="133">
        <f t="shared" ca="1" si="384"/>
        <v>12675</v>
      </c>
      <c r="S616" s="133">
        <f t="shared" ca="1" si="384"/>
        <v>1619</v>
      </c>
      <c r="T616" s="133">
        <f t="shared" ref="T616:T624" ca="1" si="385">IF(Q616&gt;0,S616*100/Q616,0)</f>
        <v>12.773175542406312</v>
      </c>
      <c r="U616" s="133">
        <f t="shared" ref="U616:U624" ca="1" si="386">IF(R616&gt;0,S616*100/R616,0)</f>
        <v>12.773175542406312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7">L620+L623</f>
        <v>0</v>
      </c>
      <c r="M617" s="49">
        <f t="shared" si="387"/>
        <v>0</v>
      </c>
      <c r="N617" s="49">
        <f t="shared" si="387"/>
        <v>0</v>
      </c>
      <c r="O617" s="49">
        <f t="shared" si="382"/>
        <v>0</v>
      </c>
      <c r="P617" s="49">
        <f t="shared" si="383"/>
        <v>0</v>
      </c>
      <c r="Q617" s="49">
        <f t="shared" ref="Q617:S618" si="388">Q620+Q623</f>
        <v>0</v>
      </c>
      <c r="R617" s="49">
        <f t="shared" si="388"/>
        <v>0</v>
      </c>
      <c r="S617" s="49">
        <f t="shared" si="388"/>
        <v>0</v>
      </c>
      <c r="T617" s="49">
        <f t="shared" si="385"/>
        <v>0</v>
      </c>
      <c r="U617" s="49">
        <f t="shared" si="386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7"/>
        <v>0</v>
      </c>
      <c r="M618" s="47">
        <f t="shared" si="387"/>
        <v>0</v>
      </c>
      <c r="N618" s="47">
        <f t="shared" si="387"/>
        <v>0</v>
      </c>
      <c r="O618" s="47">
        <f t="shared" si="382"/>
        <v>0</v>
      </c>
      <c r="P618" s="47">
        <f t="shared" si="383"/>
        <v>0</v>
      </c>
      <c r="Q618" s="47">
        <f t="shared" ca="1" si="388"/>
        <v>12675</v>
      </c>
      <c r="R618" s="47">
        <f t="shared" ca="1" si="388"/>
        <v>12675</v>
      </c>
      <c r="S618" s="47">
        <f t="shared" ca="1" si="388"/>
        <v>1619</v>
      </c>
      <c r="T618" s="47">
        <f t="shared" ca="1" si="385"/>
        <v>12.773175542406312</v>
      </c>
      <c r="U618" s="47">
        <f t="shared" ca="1" si="386"/>
        <v>12.773175542406312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89">L620+L621</f>
        <v>0</v>
      </c>
      <c r="M619" s="47">
        <f t="shared" si="389"/>
        <v>0</v>
      </c>
      <c r="N619" s="47">
        <f t="shared" si="389"/>
        <v>0</v>
      </c>
      <c r="O619" s="47">
        <f t="shared" si="382"/>
        <v>0</v>
      </c>
      <c r="P619" s="47">
        <f t="shared" si="383"/>
        <v>0</v>
      </c>
      <c r="Q619" s="47">
        <f t="shared" ref="Q619:S619" ca="1" si="390">Q620+Q621</f>
        <v>12675</v>
      </c>
      <c r="R619" s="47">
        <f t="shared" ca="1" si="390"/>
        <v>12675</v>
      </c>
      <c r="S619" s="47">
        <f t="shared" ca="1" si="390"/>
        <v>1619</v>
      </c>
      <c r="T619" s="47">
        <f t="shared" ca="1" si="385"/>
        <v>12.773175542406312</v>
      </c>
      <c r="U619" s="47">
        <f t="shared" ca="1" si="386"/>
        <v>12.773175542406312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2"/>
        <v>0</v>
      </c>
      <c r="P620" s="49">
        <f t="shared" si="383"/>
        <v>0</v>
      </c>
      <c r="Q620" s="49">
        <v>0</v>
      </c>
      <c r="R620" s="49">
        <v>0</v>
      </c>
      <c r="S620" s="49">
        <v>0</v>
      </c>
      <c r="T620" s="49">
        <f t="shared" si="385"/>
        <v>0</v>
      </c>
      <c r="U620" s="49">
        <f t="shared" si="386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2"/>
        <v>0</v>
      </c>
      <c r="P621" s="47">
        <f t="shared" si="383"/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t="shared" ca="1" si="385"/>
        <v>12.773175542406312</v>
      </c>
      <c r="U621" s="47">
        <f t="shared" ca="1" si="386"/>
        <v>12.773175542406312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1">L623+L624</f>
        <v>0</v>
      </c>
      <c r="M622" s="47">
        <f t="shared" si="391"/>
        <v>0</v>
      </c>
      <c r="N622" s="47">
        <f t="shared" si="391"/>
        <v>0</v>
      </c>
      <c r="O622" s="47">
        <f t="shared" si="382"/>
        <v>0</v>
      </c>
      <c r="P622" s="47">
        <f t="shared" si="383"/>
        <v>0</v>
      </c>
      <c r="Q622" s="47">
        <f t="shared" ref="Q622:S622" si="392">Q623+Q624</f>
        <v>0</v>
      </c>
      <c r="R622" s="47">
        <f t="shared" si="392"/>
        <v>0</v>
      </c>
      <c r="S622" s="47">
        <f t="shared" si="392"/>
        <v>0</v>
      </c>
      <c r="T622" s="47">
        <f t="shared" si="385"/>
        <v>0</v>
      </c>
      <c r="U622" s="47">
        <f t="shared" si="386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2"/>
        <v>0</v>
      </c>
      <c r="P623" s="49">
        <f t="shared" si="383"/>
        <v>0</v>
      </c>
      <c r="Q623" s="49">
        <v>0</v>
      </c>
      <c r="R623" s="49">
        <v>0</v>
      </c>
      <c r="S623" s="49">
        <v>0</v>
      </c>
      <c r="T623" s="49">
        <f t="shared" si="385"/>
        <v>0</v>
      </c>
      <c r="U623" s="49">
        <f t="shared" si="386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2"/>
        <v>0</v>
      </c>
      <c r="P624" s="47">
        <f t="shared" si="383"/>
        <v>0</v>
      </c>
      <c r="Q624" s="47">
        <v>0</v>
      </c>
      <c r="R624" s="47">
        <v>0</v>
      </c>
      <c r="S624" s="47">
        <v>0</v>
      </c>
      <c r="T624" s="47">
        <f t="shared" si="385"/>
        <v>0</v>
      </c>
      <c r="U624" s="47">
        <f t="shared" si="386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IFERROR(__xludf.DUMMYFUNCTION("IMPORTRANGE(""https://docs.google.com/spreadsheets/d/1eHaY18a8A9IcSdp1K8H6x8fbOy06t2VsZHhMHf-1x7Y/edit?usp=sharing"",""แผน!ID78"")"),100)</f>
        <v>100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IFERROR(__xludf.DUMMYFUNCTION("IMPORTRANGE(""https://docs.google.com/spreadsheets/d/1eHaY18a8A9IcSdp1K8H6x8fbOy06t2VsZHhMHf-1x7Y/edit?usp=sharing"",""แผน!IC78"")"),1)</f>
        <v>1</v>
      </c>
      <c r="J627" s="169">
        <v>0</v>
      </c>
      <c r="K627" s="47">
        <f t="shared" ref="K627:K628" ca="1" si="393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IFERROR(__xludf.DUMMYFUNCTION("IMPORTRANGE(""https://docs.google.com/spreadsheets/d/1eHaY18a8A9IcSdp1K8H6x8fbOy06t2VsZHhMHf-1x7Y/edit?usp=sharing"",""แผน!IC78"")"),1)</f>
        <v>1</v>
      </c>
      <c r="J628" s="169">
        <v>0</v>
      </c>
      <c r="K628" s="47">
        <f t="shared" ca="1" si="393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4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4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4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IFERROR(__xludf.DUMMYFUNCTION("IMPORTRANGE(""https://docs.google.com/spreadsheets/d/1eHaY18a8A9IcSdp1K8H6x8fbOy06t2VsZHhMHf-1x7Y/edit?usp=sharing"",""แผน!IE78"")"),0)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5">L643+L644</f>
        <v>0</v>
      </c>
      <c r="M642" s="133">
        <f t="shared" si="395"/>
        <v>0</v>
      </c>
      <c r="N642" s="133">
        <f t="shared" si="395"/>
        <v>0</v>
      </c>
      <c r="O642" s="133">
        <f t="shared" ref="O642:O650" si="396">IF(L642&gt;0,N642*100/L642,0)</f>
        <v>0</v>
      </c>
      <c r="P642" s="133">
        <f t="shared" ref="P642:P650" si="397">IF(M642&gt;0,N642*100/M642,0)</f>
        <v>0</v>
      </c>
      <c r="Q642" s="133">
        <f t="shared" ref="Q642:S642" ca="1" si="398">Q643+Q644</f>
        <v>0</v>
      </c>
      <c r="R642" s="133">
        <f t="shared" ca="1" si="398"/>
        <v>0</v>
      </c>
      <c r="S642" s="133">
        <f t="shared" ca="1" si="398"/>
        <v>0</v>
      </c>
      <c r="T642" s="133">
        <f t="shared" ref="T642:T650" ca="1" si="399">IF(Q642&gt;0,S642*100/Q642,0)</f>
        <v>0</v>
      </c>
      <c r="U642" s="133">
        <f t="shared" ref="U642:U650" ca="1" si="400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1">L646+L649</f>
        <v>0</v>
      </c>
      <c r="M643" s="49">
        <f t="shared" si="401"/>
        <v>0</v>
      </c>
      <c r="N643" s="49">
        <f t="shared" si="401"/>
        <v>0</v>
      </c>
      <c r="O643" s="49">
        <f t="shared" si="396"/>
        <v>0</v>
      </c>
      <c r="P643" s="49">
        <f t="shared" si="397"/>
        <v>0</v>
      </c>
      <c r="Q643" s="49">
        <f t="shared" ref="Q643:S644" si="402">Q646+Q649</f>
        <v>0</v>
      </c>
      <c r="R643" s="49">
        <f t="shared" si="402"/>
        <v>0</v>
      </c>
      <c r="S643" s="49">
        <f t="shared" si="402"/>
        <v>0</v>
      </c>
      <c r="T643" s="49">
        <f t="shared" si="399"/>
        <v>0</v>
      </c>
      <c r="U643" s="49">
        <f t="shared" si="400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1"/>
        <v>0</v>
      </c>
      <c r="M644" s="47">
        <f t="shared" si="401"/>
        <v>0</v>
      </c>
      <c r="N644" s="47">
        <f t="shared" si="401"/>
        <v>0</v>
      </c>
      <c r="O644" s="47">
        <f t="shared" si="396"/>
        <v>0</v>
      </c>
      <c r="P644" s="47">
        <f t="shared" si="397"/>
        <v>0</v>
      </c>
      <c r="Q644" s="47">
        <f t="shared" ca="1" si="402"/>
        <v>0</v>
      </c>
      <c r="R644" s="47">
        <f t="shared" ca="1" si="402"/>
        <v>0</v>
      </c>
      <c r="S644" s="47">
        <f t="shared" ca="1" si="402"/>
        <v>0</v>
      </c>
      <c r="T644" s="47">
        <f t="shared" ca="1" si="399"/>
        <v>0</v>
      </c>
      <c r="U644" s="47">
        <f t="shared" ca="1" si="400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3">L646+L647</f>
        <v>0</v>
      </c>
      <c r="M645" s="47">
        <f t="shared" si="403"/>
        <v>0</v>
      </c>
      <c r="N645" s="47">
        <f t="shared" si="403"/>
        <v>0</v>
      </c>
      <c r="O645" s="47">
        <f t="shared" si="396"/>
        <v>0</v>
      </c>
      <c r="P645" s="47">
        <f t="shared" si="397"/>
        <v>0</v>
      </c>
      <c r="Q645" s="47">
        <f t="shared" ref="Q645:S645" ca="1" si="404">Q646+Q647</f>
        <v>0</v>
      </c>
      <c r="R645" s="47">
        <f t="shared" ca="1" si="404"/>
        <v>0</v>
      </c>
      <c r="S645" s="47">
        <f t="shared" ca="1" si="404"/>
        <v>0</v>
      </c>
      <c r="T645" s="47">
        <f t="shared" ca="1" si="399"/>
        <v>0</v>
      </c>
      <c r="U645" s="47">
        <f t="shared" ca="1" si="400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6"/>
        <v>0</v>
      </c>
      <c r="P646" s="49">
        <f t="shared" si="397"/>
        <v>0</v>
      </c>
      <c r="Q646" s="49">
        <v>0</v>
      </c>
      <c r="R646" s="49">
        <v>0</v>
      </c>
      <c r="S646" s="49">
        <v>0</v>
      </c>
      <c r="T646" s="49">
        <f t="shared" si="399"/>
        <v>0</v>
      </c>
      <c r="U646" s="49">
        <f t="shared" si="400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6"/>
        <v>0</v>
      </c>
      <c r="P647" s="47">
        <f t="shared" si="397"/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t="shared" ca="1" si="399"/>
        <v>0</v>
      </c>
      <c r="U647" s="47">
        <f t="shared" ca="1" si="400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5">L649+L650</f>
        <v>0</v>
      </c>
      <c r="M648" s="47">
        <f t="shared" si="405"/>
        <v>0</v>
      </c>
      <c r="N648" s="47">
        <f t="shared" si="405"/>
        <v>0</v>
      </c>
      <c r="O648" s="47">
        <f t="shared" si="396"/>
        <v>0</v>
      </c>
      <c r="P648" s="47">
        <f t="shared" si="397"/>
        <v>0</v>
      </c>
      <c r="Q648" s="47">
        <f t="shared" ref="Q648:S648" si="406">Q649+Q650</f>
        <v>0</v>
      </c>
      <c r="R648" s="47">
        <f t="shared" si="406"/>
        <v>0</v>
      </c>
      <c r="S648" s="47">
        <f t="shared" si="406"/>
        <v>0</v>
      </c>
      <c r="T648" s="47">
        <f t="shared" si="399"/>
        <v>0</v>
      </c>
      <c r="U648" s="47">
        <f t="shared" si="400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6"/>
        <v>0</v>
      </c>
      <c r="P649" s="49">
        <f t="shared" si="397"/>
        <v>0</v>
      </c>
      <c r="Q649" s="49">
        <v>0</v>
      </c>
      <c r="R649" s="49">
        <v>0</v>
      </c>
      <c r="S649" s="49">
        <v>0</v>
      </c>
      <c r="T649" s="49">
        <f t="shared" si="399"/>
        <v>0</v>
      </c>
      <c r="U649" s="49">
        <f t="shared" si="400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6"/>
        <v>0</v>
      </c>
      <c r="P650" s="47">
        <f t="shared" si="397"/>
        <v>0</v>
      </c>
      <c r="Q650" s="47">
        <v>0</v>
      </c>
      <c r="R650" s="47">
        <v>0</v>
      </c>
      <c r="S650" s="47">
        <v>0</v>
      </c>
      <c r="T650" s="47">
        <f t="shared" si="399"/>
        <v>0</v>
      </c>
      <c r="U650" s="47">
        <f t="shared" si="400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IFERROR(__xludf.DUMMYFUNCTION("IMPORTRANGE(""https://docs.google.com/spreadsheets/d/1eHaY18a8A9IcSdp1K8H6x8fbOy06t2VsZHhMHf-1x7Y/edit?usp=sharing"",""แผน!IF78"")"),0)</f>
        <v>0</v>
      </c>
      <c r="J652" s="37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t="shared" ref="K652:K654" ca="1" si="407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IFERROR(__xludf.DUMMYFUNCTION("IMPORTRANGE(""https://docs.google.com/spreadsheets/d/1eHaY18a8A9IcSdp1K8H6x8fbOy06t2VsZHhMHf-1x7Y/edit?usp=sharing"",""แผน!IG78"")"),0)</f>
        <v>0</v>
      </c>
      <c r="J653" s="37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t="shared" ca="1" si="407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IFERROR(__xludf.DUMMYFUNCTION("IMPORTRANGE(""https://docs.google.com/spreadsheets/d/1eHaY18a8A9IcSdp1K8H6x8fbOy06t2VsZHhMHf-1x7Y/edit?usp=sharing"",""แผน!IH78"")"),0)</f>
        <v>0</v>
      </c>
      <c r="J654" s="371">
        <f>J657+J660</f>
        <v>0</v>
      </c>
      <c r="K654" s="133">
        <f t="shared" ca="1" si="407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IFERROR(__xludf.DUMMYFUNCTION("IMPORTRANGE(""https://docs.google.com/spreadsheets/d/1eHaY18a8A9IcSdp1K8H6x8fbOy06t2VsZHhMHf-1x7Y/edit?usp=sharing"",""แผน!II78"")"),0)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IFERROR(__xludf.DUMMYFUNCTION("IMPORTRANGE(""https://docs.google.com/spreadsheets/d/1eHaY18a8A9IcSdp1K8H6x8fbOy06t2VsZHhMHf-1x7Y/edit?usp=sharing"",""แผน!IJ78"")"),0)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IFERROR(__xludf.DUMMYFUNCTION("IMPORTRANGE(""https://docs.google.com/spreadsheets/d/1eHaY18a8A9IcSdp1K8H6x8fbOy06t2VsZHhMHf-1x7Y/edit?usp=sharing"",""แผน!IK78"")"),0)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IFERROR(__xludf.DUMMYFUNCTION("IMPORTRANGE(""https://docs.google.com/spreadsheets/d/1eHaY18a8A9IcSdp1K8H6x8fbOy06t2VsZHhMHf-1x7Y/edit?usp=sharing"",""แผน!IL78"")"),0)</f>
        <v>0</v>
      </c>
      <c r="J673" s="37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t="shared" ref="K673:K676" ca="1" si="408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IFERROR(__xludf.DUMMYFUNCTION("IMPORTRANGE(""https://docs.google.com/spreadsheets/d/1eHaY18a8A9IcSdp1K8H6x8fbOy06t2VsZHhMHf-1x7Y/edit?usp=sharing"",""แผน!IM78"")"),0)</f>
        <v>0</v>
      </c>
      <c r="J674" s="371">
        <f ca="1">J676+J679</f>
        <v>0</v>
      </c>
      <c r="K674" s="133">
        <f t="shared" ca="1" si="408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IFERROR(__xludf.DUMMYFUNCTION("IMPORTRANGE(""https://docs.google.com/spreadsheets/d/1eHaY18a8A9IcSdp1K8H6x8fbOy06t2VsZHhMHf-1x7Y/edit?usp=sharing"",""แผน!IN78"")"),0)</f>
        <v>0</v>
      </c>
      <c r="J675" s="371">
        <f ca="1">J678+J681</f>
        <v>0</v>
      </c>
      <c r="K675" s="133">
        <f t="shared" ca="1" si="408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IFERROR(__xludf.DUMMYFUNCTION("IMPORTRANGE(""https://docs.google.com/spreadsheets/d/1eHaY18a8A9IcSdp1K8H6x8fbOy06t2VsZHhMHf-1x7Y/edit?usp=sharing"",""แผน!IO78"")"),0)</f>
        <v>0</v>
      </c>
      <c r="J676" s="37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t="shared" ca="1" si="408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IFERROR(__xludf.DUMMYFUNCTION("IMPORTRANGE(""https://docs.google.com/spreadsheets/d/1eHaY18a8A9IcSdp1K8H6x8fbOy06t2VsZHhMHf-1x7Y/edit?usp=sharing"",""แผน!IP78"")"),0)</f>
        <v>0</v>
      </c>
      <c r="J678" s="37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t="shared" ref="K678:K679" ca="1" si="409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IFERROR(__xludf.DUMMYFUNCTION("IMPORTRANGE(""https://docs.google.com/spreadsheets/d/1eHaY18a8A9IcSdp1K8H6x8fbOy06t2VsZHhMHf-1x7Y/edit?usp=sharing"",""แผน!IQ78"")"),0)</f>
        <v>0</v>
      </c>
      <c r="J679" s="37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t="shared" ca="1" si="409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IFERROR(__xludf.DUMMYFUNCTION("IMPORTRANGE(""https://docs.google.com/spreadsheets/d/1eHaY18a8A9IcSdp1K8H6x8fbOy06t2VsZHhMHf-1x7Y/edit?usp=sharing"",""แผน!IR78"")"),0)</f>
        <v>0</v>
      </c>
      <c r="J681" s="37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t="shared" ref="K681:K682" ca="1" si="410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IFERROR(__xludf.DUMMYFUNCTION("IMPORTRANGE(""https://docs.google.com/spreadsheets/d/1eHaY18a8A9IcSdp1K8H6x8fbOy06t2VsZHhMHf-1x7Y/edit?usp=sharing"",""แผน!IS78"")"),0)</f>
        <v>0</v>
      </c>
      <c r="J682" s="371">
        <f>J685+J688</f>
        <v>0</v>
      </c>
      <c r="K682" s="133">
        <f t="shared" ca="1" si="410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503" t="s">
        <v>35</v>
      </c>
      <c r="I689" s="504">
        <f t="shared" ref="I689:J689" ca="1" si="411">I707+I709</f>
        <v>49</v>
      </c>
      <c r="J689" s="504">
        <f t="shared" ca="1" si="411"/>
        <v>3</v>
      </c>
      <c r="K689" s="505">
        <f ca="1">IF(I689&gt;0,J689*100/I689,0)</f>
        <v>6.1224489795918364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2">L691+L692</f>
        <v>0</v>
      </c>
      <c r="M690" s="133">
        <f t="shared" si="412"/>
        <v>0</v>
      </c>
      <c r="N690" s="133">
        <f t="shared" si="412"/>
        <v>0</v>
      </c>
      <c r="O690" s="133">
        <f t="shared" ref="O690:O698" si="413">IF(L690&gt;0,N690*100/L690,0)</f>
        <v>0</v>
      </c>
      <c r="P690" s="133">
        <f t="shared" ref="P690:P698" si="414">IF(M690&gt;0,N690*100/M690,0)</f>
        <v>0</v>
      </c>
      <c r="Q690" s="133">
        <f t="shared" ref="Q690:S690" ca="1" si="415">Q691+Q692</f>
        <v>178410</v>
      </c>
      <c r="R690" s="133">
        <f t="shared" ca="1" si="415"/>
        <v>178410</v>
      </c>
      <c r="S690" s="133">
        <f t="shared" ca="1" si="415"/>
        <v>1880</v>
      </c>
      <c r="T690" s="133">
        <f t="shared" ref="T690:T698" ca="1" si="416">IF(Q690&gt;0,S690*100/Q690,0)</f>
        <v>1.0537525923434785</v>
      </c>
      <c r="U690" s="133">
        <f t="shared" ref="U690:U698" ca="1" si="417">IF(R690&gt;0,S690*100/R690,0)</f>
        <v>1.0537525923434785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8">L694+L697</f>
        <v>0</v>
      </c>
      <c r="M691" s="49">
        <f t="shared" si="418"/>
        <v>0</v>
      </c>
      <c r="N691" s="49">
        <f t="shared" si="418"/>
        <v>0</v>
      </c>
      <c r="O691" s="49">
        <f t="shared" si="413"/>
        <v>0</v>
      </c>
      <c r="P691" s="49">
        <f t="shared" si="414"/>
        <v>0</v>
      </c>
      <c r="Q691" s="49">
        <f t="shared" ref="Q691:S692" si="419">Q694+Q697</f>
        <v>0</v>
      </c>
      <c r="R691" s="49">
        <f t="shared" si="419"/>
        <v>0</v>
      </c>
      <c r="S691" s="49">
        <f t="shared" si="419"/>
        <v>0</v>
      </c>
      <c r="T691" s="49">
        <f t="shared" si="416"/>
        <v>0</v>
      </c>
      <c r="U691" s="49">
        <f t="shared" si="417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8"/>
        <v>0</v>
      </c>
      <c r="M692" s="47">
        <f t="shared" si="418"/>
        <v>0</v>
      </c>
      <c r="N692" s="47">
        <f t="shared" si="418"/>
        <v>0</v>
      </c>
      <c r="O692" s="47">
        <f t="shared" si="413"/>
        <v>0</v>
      </c>
      <c r="P692" s="47">
        <f t="shared" si="414"/>
        <v>0</v>
      </c>
      <c r="Q692" s="47">
        <f t="shared" ca="1" si="419"/>
        <v>178410</v>
      </c>
      <c r="R692" s="47">
        <f t="shared" ca="1" si="419"/>
        <v>178410</v>
      </c>
      <c r="S692" s="47">
        <f t="shared" ca="1" si="419"/>
        <v>1880</v>
      </c>
      <c r="T692" s="47">
        <f t="shared" ca="1" si="416"/>
        <v>1.0537525923434785</v>
      </c>
      <c r="U692" s="47">
        <f t="shared" ca="1" si="417"/>
        <v>1.0537525923434785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0">L694+L695</f>
        <v>0</v>
      </c>
      <c r="M693" s="47">
        <f t="shared" si="420"/>
        <v>0</v>
      </c>
      <c r="N693" s="47">
        <f t="shared" si="420"/>
        <v>0</v>
      </c>
      <c r="O693" s="47">
        <f t="shared" si="413"/>
        <v>0</v>
      </c>
      <c r="P693" s="47">
        <f t="shared" si="414"/>
        <v>0</v>
      </c>
      <c r="Q693" s="47">
        <f t="shared" ref="Q693:S693" ca="1" si="421">Q694+Q695</f>
        <v>178410</v>
      </c>
      <c r="R693" s="47">
        <f t="shared" ca="1" si="421"/>
        <v>178410</v>
      </c>
      <c r="S693" s="47">
        <f t="shared" ca="1" si="421"/>
        <v>1880</v>
      </c>
      <c r="T693" s="47">
        <f t="shared" ca="1" si="416"/>
        <v>1.0537525923434785</v>
      </c>
      <c r="U693" s="47">
        <f t="shared" ca="1" si="417"/>
        <v>1.0537525923434785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3"/>
        <v>0</v>
      </c>
      <c r="P694" s="49">
        <f t="shared" si="414"/>
        <v>0</v>
      </c>
      <c r="Q694" s="49">
        <v>0</v>
      </c>
      <c r="R694" s="49">
        <v>0</v>
      </c>
      <c r="S694" s="49">
        <v>0</v>
      </c>
      <c r="T694" s="49">
        <f t="shared" si="416"/>
        <v>0</v>
      </c>
      <c r="U694" s="49">
        <f t="shared" si="417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3"/>
        <v>0</v>
      </c>
      <c r="P695" s="47">
        <f t="shared" si="414"/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IFERROR(__xludf.DUMMYFUNCTION("IMPORTRANGE(""https://docs.google.com/spreadsheets/d/1ItG2mGa2ceCfYo0BwxsXqNm01IGEUdYcSSLTEv9YCik/edit?usp=sharing"",""เบิกจ่ายกองทุน!N78"")"),1880)</f>
        <v>1880</v>
      </c>
      <c r="T695" s="47">
        <f t="shared" ca="1" si="416"/>
        <v>1.0537525923434785</v>
      </c>
      <c r="U695" s="47">
        <f t="shared" ca="1" si="417"/>
        <v>1.0537525923434785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2">L697+L698</f>
        <v>0</v>
      </c>
      <c r="M696" s="47">
        <f t="shared" si="422"/>
        <v>0</v>
      </c>
      <c r="N696" s="47">
        <f t="shared" si="422"/>
        <v>0</v>
      </c>
      <c r="O696" s="47">
        <f t="shared" si="413"/>
        <v>0</v>
      </c>
      <c r="P696" s="47">
        <f t="shared" si="414"/>
        <v>0</v>
      </c>
      <c r="Q696" s="47">
        <f t="shared" ref="Q696:S696" si="423">Q697+Q698</f>
        <v>0</v>
      </c>
      <c r="R696" s="47">
        <f t="shared" si="423"/>
        <v>0</v>
      </c>
      <c r="S696" s="47">
        <f t="shared" si="423"/>
        <v>0</v>
      </c>
      <c r="T696" s="47">
        <f t="shared" si="416"/>
        <v>0</v>
      </c>
      <c r="U696" s="47">
        <f t="shared" si="417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3"/>
        <v>0</v>
      </c>
      <c r="P697" s="49">
        <f t="shared" si="414"/>
        <v>0</v>
      </c>
      <c r="Q697" s="49">
        <v>0</v>
      </c>
      <c r="R697" s="49">
        <v>0</v>
      </c>
      <c r="S697" s="49">
        <v>0</v>
      </c>
      <c r="T697" s="49">
        <f t="shared" si="416"/>
        <v>0</v>
      </c>
      <c r="U697" s="49">
        <f t="shared" si="417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3"/>
        <v>0</v>
      </c>
      <c r="P698" s="47">
        <f t="shared" si="414"/>
        <v>0</v>
      </c>
      <c r="Q698" s="47">
        <v>0</v>
      </c>
      <c r="R698" s="47">
        <v>0</v>
      </c>
      <c r="S698" s="47">
        <v>0</v>
      </c>
      <c r="T698" s="47">
        <f t="shared" si="416"/>
        <v>0</v>
      </c>
      <c r="U698" s="47">
        <f t="shared" si="417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IFERROR(__xludf.DUMMYFUNCTION("IMPORTRANGE(""https://docs.google.com/spreadsheets/d/1eHaY18a8A9IcSdp1K8H6x8fbOy06t2VsZHhMHf-1x7Y/edit?usp=sharing"",""แผน!LC78"")"),0)</f>
        <v>0</v>
      </c>
      <c r="J700" s="169">
        <v>0</v>
      </c>
      <c r="K700" s="154">
        <f t="shared" ref="K700:K710" ca="1" si="424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5">I703+I705</f>
        <v>49</v>
      </c>
      <c r="J701" s="371">
        <f t="shared" ca="1" si="425"/>
        <v>3</v>
      </c>
      <c r="K701" s="133">
        <f t="shared" ca="1" si="424"/>
        <v>6.1224489795918364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4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IFERROR(__xludf.DUMMYFUNCTION("IMPORTRANGE(""https://docs.google.com/spreadsheets/d/1eHaY18a8A9IcSdp1K8H6x8fbOy06t2VsZHhMHf-1x7Y/edit?usp=sharing"",""แผน!LJ78"")"),45)</f>
        <v>45</v>
      </c>
      <c r="J703" s="37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t="shared" ca="1" si="424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 t="shared" si="424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IFERROR(__xludf.DUMMYFUNCTION("IMPORTRANGE(""https://docs.google.com/spreadsheets/d/1eHaY18a8A9IcSdp1K8H6x8fbOy06t2VsZHhMHf-1x7Y/edit?usp=sharing"",""แผน!LK78"")"),4)</f>
        <v>4</v>
      </c>
      <c r="J705" s="372">
        <f ca="1">IFERROR(__xludf.DUMMYFUNCTION("IMPORTRANGE(""https://docs.google.com/spreadsheets/d/1tdoBKaGub7dwA3U6UFTqxio9LNnvDCQjHKmttSEBsFQ/edit?usp=sharing"",""จัดที่ดิน!AR78"")"),3)</f>
        <v>3</v>
      </c>
      <c r="K705" s="154">
        <f t="shared" ca="1" si="424"/>
        <v>75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 t="shared" si="424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IFERROR(__xludf.DUMMYFUNCTION("IMPORTRANGE(""https://docs.google.com/spreadsheets/d/1eHaY18a8A9IcSdp1K8H6x8fbOy06t2VsZHhMHf-1x7Y/edit?usp=sharing"",""แผน!LJ78"")"),45)</f>
        <v>45</v>
      </c>
      <c r="J707" s="37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t="shared" ca="1" si="424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 t="shared" si="424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IFERROR(__xludf.DUMMYFUNCTION("IMPORTRANGE(""https://docs.google.com/spreadsheets/d/1eHaY18a8A9IcSdp1K8H6x8fbOy06t2VsZHhMHf-1x7Y/edit?usp=sharing"",""แผน!LK78"")"),4)</f>
        <v>4</v>
      </c>
      <c r="J709" s="372">
        <f ca="1">IFERROR(__xludf.DUMMYFUNCTION("IMPORTRANGE(""https://docs.google.com/spreadsheets/d/1tdoBKaGub7dwA3U6UFTqxio9LNnvDCQjHKmttSEBsFQ/edit?usp=sharing"",""จัดที่ดิน!BP78"")"),3)</f>
        <v>3</v>
      </c>
      <c r="K709" s="47">
        <f t="shared" ca="1" si="424"/>
        <v>75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 t="shared" si="424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6">L715+L716</f>
        <v>0</v>
      </c>
      <c r="M714" s="133">
        <f t="shared" si="426"/>
        <v>0</v>
      </c>
      <c r="N714" s="133">
        <f t="shared" si="426"/>
        <v>0</v>
      </c>
      <c r="O714" s="133">
        <f t="shared" ref="O714:O722" si="427">IF(L714&gt;0,N714*100/L714,0)</f>
        <v>0</v>
      </c>
      <c r="P714" s="133">
        <f t="shared" ref="P714:P722" si="428">IF(M714&gt;0,N714*100/M714,0)</f>
        <v>0</v>
      </c>
      <c r="Q714" s="133">
        <f t="shared" ref="Q714:S714" si="429">Q715+Q716</f>
        <v>0</v>
      </c>
      <c r="R714" s="133">
        <f t="shared" si="429"/>
        <v>0</v>
      </c>
      <c r="S714" s="133">
        <f t="shared" si="429"/>
        <v>0</v>
      </c>
      <c r="T714" s="133">
        <f t="shared" ref="T714:T722" si="430">IF(Q714&gt;0,S714*100/Q714,0)</f>
        <v>0</v>
      </c>
      <c r="U714" s="133">
        <f t="shared" ref="U714:U722" si="431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2">L718+L721</f>
        <v>0</v>
      </c>
      <c r="M715" s="49">
        <f t="shared" si="432"/>
        <v>0</v>
      </c>
      <c r="N715" s="49">
        <f t="shared" si="432"/>
        <v>0</v>
      </c>
      <c r="O715" s="49">
        <f t="shared" si="427"/>
        <v>0</v>
      </c>
      <c r="P715" s="49">
        <f t="shared" si="428"/>
        <v>0</v>
      </c>
      <c r="Q715" s="49">
        <f t="shared" ref="Q715:S716" si="433">Q718+Q721</f>
        <v>0</v>
      </c>
      <c r="R715" s="49">
        <f t="shared" si="433"/>
        <v>0</v>
      </c>
      <c r="S715" s="49">
        <f t="shared" si="433"/>
        <v>0</v>
      </c>
      <c r="T715" s="49">
        <f t="shared" si="430"/>
        <v>0</v>
      </c>
      <c r="U715" s="49">
        <f t="shared" si="431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2"/>
        <v>0</v>
      </c>
      <c r="M716" s="47">
        <f t="shared" si="432"/>
        <v>0</v>
      </c>
      <c r="N716" s="47">
        <f t="shared" si="432"/>
        <v>0</v>
      </c>
      <c r="O716" s="47">
        <f t="shared" si="427"/>
        <v>0</v>
      </c>
      <c r="P716" s="47">
        <f t="shared" si="428"/>
        <v>0</v>
      </c>
      <c r="Q716" s="47">
        <f t="shared" si="433"/>
        <v>0</v>
      </c>
      <c r="R716" s="47">
        <f t="shared" si="433"/>
        <v>0</v>
      </c>
      <c r="S716" s="47">
        <f t="shared" si="433"/>
        <v>0</v>
      </c>
      <c r="T716" s="47">
        <f t="shared" si="430"/>
        <v>0</v>
      </c>
      <c r="U716" s="47">
        <f t="shared" si="431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4">L718+L719</f>
        <v>0</v>
      </c>
      <c r="M717" s="47">
        <f t="shared" si="434"/>
        <v>0</v>
      </c>
      <c r="N717" s="47">
        <f t="shared" si="434"/>
        <v>0</v>
      </c>
      <c r="O717" s="47">
        <f t="shared" si="427"/>
        <v>0</v>
      </c>
      <c r="P717" s="47">
        <f t="shared" si="428"/>
        <v>0</v>
      </c>
      <c r="Q717" s="47">
        <f t="shared" ref="Q717:S717" si="435">Q718+Q719</f>
        <v>0</v>
      </c>
      <c r="R717" s="47">
        <f t="shared" si="435"/>
        <v>0</v>
      </c>
      <c r="S717" s="47">
        <f t="shared" si="435"/>
        <v>0</v>
      </c>
      <c r="T717" s="47">
        <f t="shared" si="430"/>
        <v>0</v>
      </c>
      <c r="U717" s="47">
        <f t="shared" si="431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7"/>
        <v>0</v>
      </c>
      <c r="P718" s="49">
        <f t="shared" si="428"/>
        <v>0</v>
      </c>
      <c r="Q718" s="49">
        <v>0</v>
      </c>
      <c r="R718" s="49">
        <v>0</v>
      </c>
      <c r="S718" s="49">
        <v>0</v>
      </c>
      <c r="T718" s="49">
        <f t="shared" si="430"/>
        <v>0</v>
      </c>
      <c r="U718" s="49">
        <f t="shared" si="431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7"/>
        <v>0</v>
      </c>
      <c r="P719" s="47">
        <f t="shared" si="428"/>
        <v>0</v>
      </c>
      <c r="Q719" s="47">
        <v>0</v>
      </c>
      <c r="R719" s="47">
        <v>0</v>
      </c>
      <c r="S719" s="47">
        <v>0</v>
      </c>
      <c r="T719" s="47">
        <f t="shared" si="430"/>
        <v>0</v>
      </c>
      <c r="U719" s="47">
        <f t="shared" si="431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6">L721+L722</f>
        <v>0</v>
      </c>
      <c r="M720" s="47">
        <f t="shared" si="436"/>
        <v>0</v>
      </c>
      <c r="N720" s="47">
        <f t="shared" si="436"/>
        <v>0</v>
      </c>
      <c r="O720" s="47">
        <f t="shared" si="427"/>
        <v>0</v>
      </c>
      <c r="P720" s="47">
        <f t="shared" si="428"/>
        <v>0</v>
      </c>
      <c r="Q720" s="47">
        <f t="shared" ref="Q720:S720" si="437">Q721+Q722</f>
        <v>0</v>
      </c>
      <c r="R720" s="47">
        <f t="shared" si="437"/>
        <v>0</v>
      </c>
      <c r="S720" s="47">
        <f t="shared" si="437"/>
        <v>0</v>
      </c>
      <c r="T720" s="47">
        <f t="shared" si="430"/>
        <v>0</v>
      </c>
      <c r="U720" s="47">
        <f t="shared" si="431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7"/>
        <v>0</v>
      </c>
      <c r="P721" s="49">
        <f t="shared" si="428"/>
        <v>0</v>
      </c>
      <c r="Q721" s="49">
        <v>0</v>
      </c>
      <c r="R721" s="49">
        <v>0</v>
      </c>
      <c r="S721" s="49">
        <v>0</v>
      </c>
      <c r="T721" s="49">
        <f t="shared" si="430"/>
        <v>0</v>
      </c>
      <c r="U721" s="49">
        <f t="shared" si="431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7"/>
        <v>0</v>
      </c>
      <c r="P722" s="47">
        <f t="shared" si="428"/>
        <v>0</v>
      </c>
      <c r="Q722" s="47">
        <v>0</v>
      </c>
      <c r="R722" s="47">
        <v>0</v>
      </c>
      <c r="S722" s="47">
        <v>0</v>
      </c>
      <c r="T722" s="47">
        <f t="shared" si="430"/>
        <v>0</v>
      </c>
      <c r="U722" s="47">
        <f t="shared" si="431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IFERROR(__xludf.DUMMYFUNCTION("IMPORTRANGE(""https://docs.google.com/spreadsheets/d/1eHaY18a8A9IcSdp1K8H6x8fbOy06t2VsZHhMHf-1x7Y/edit?usp=sharing"",""แผน!GA78"")"),21)</f>
        <v>21</v>
      </c>
      <c r="J726" s="504">
        <f>J742+J746+J749</f>
        <v>21</v>
      </c>
      <c r="K726" s="505">
        <f t="shared" ref="K726:K727" ca="1" si="438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IFERROR(__xludf.DUMMYFUNCTION("IMPORTRANGE(""https://docs.google.com/spreadsheets/d/1eHaY18a8A9IcSdp1K8H6x8fbOy06t2VsZHhMHf-1x7Y/edit?usp=sharing"",""แผน!FZ78"")"),200)</f>
        <v>200</v>
      </c>
      <c r="J727" s="504">
        <f>J752+J755</f>
        <v>200</v>
      </c>
      <c r="K727" s="505">
        <f t="shared" ca="1" si="438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39">L729+L730</f>
        <v>0</v>
      </c>
      <c r="M728" s="133">
        <f t="shared" si="439"/>
        <v>0</v>
      </c>
      <c r="N728" s="133">
        <f t="shared" si="439"/>
        <v>0</v>
      </c>
      <c r="O728" s="133">
        <f t="shared" ref="O728:O736" si="440">IF(L728&gt;0,N728*100/L728,0)</f>
        <v>0</v>
      </c>
      <c r="P728" s="133">
        <f t="shared" ref="P728:P736" si="441">IF(M728&gt;0,N728*100/M728,0)</f>
        <v>0</v>
      </c>
      <c r="Q728" s="133">
        <f t="shared" ref="Q728:S728" ca="1" si="442">Q729+Q730</f>
        <v>175994</v>
      </c>
      <c r="R728" s="133">
        <f t="shared" ca="1" si="442"/>
        <v>152008</v>
      </c>
      <c r="S728" s="133">
        <f t="shared" ca="1" si="442"/>
        <v>152008</v>
      </c>
      <c r="T728" s="133">
        <f t="shared" ref="T728:T736" ca="1" si="443">IF(Q728&gt;0,S728*100/Q728,0)</f>
        <v>86.371126288396198</v>
      </c>
      <c r="U728" s="133">
        <f t="shared" ref="U728:U736" ca="1" si="444">IF(R728&gt;0,S728*100/R728,0)</f>
        <v>100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5">L732+L735</f>
        <v>0</v>
      </c>
      <c r="M729" s="49">
        <f t="shared" si="445"/>
        <v>0</v>
      </c>
      <c r="N729" s="49">
        <f t="shared" si="445"/>
        <v>0</v>
      </c>
      <c r="O729" s="49">
        <f t="shared" si="440"/>
        <v>0</v>
      </c>
      <c r="P729" s="49">
        <f t="shared" si="441"/>
        <v>0</v>
      </c>
      <c r="Q729" s="49">
        <f t="shared" ref="Q729:S730" si="446">Q732+Q735</f>
        <v>0</v>
      </c>
      <c r="R729" s="49">
        <f t="shared" si="446"/>
        <v>0</v>
      </c>
      <c r="S729" s="49">
        <f t="shared" si="446"/>
        <v>0</v>
      </c>
      <c r="T729" s="49">
        <f t="shared" si="443"/>
        <v>0</v>
      </c>
      <c r="U729" s="49">
        <f t="shared" si="444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5"/>
        <v>0</v>
      </c>
      <c r="M730" s="47">
        <f t="shared" si="445"/>
        <v>0</v>
      </c>
      <c r="N730" s="47">
        <f t="shared" si="445"/>
        <v>0</v>
      </c>
      <c r="O730" s="47">
        <f t="shared" si="440"/>
        <v>0</v>
      </c>
      <c r="P730" s="47">
        <f t="shared" si="441"/>
        <v>0</v>
      </c>
      <c r="Q730" s="47">
        <f t="shared" ca="1" si="446"/>
        <v>175994</v>
      </c>
      <c r="R730" s="47">
        <f t="shared" ca="1" si="446"/>
        <v>152008</v>
      </c>
      <c r="S730" s="47">
        <f t="shared" ca="1" si="446"/>
        <v>152008</v>
      </c>
      <c r="T730" s="47">
        <f t="shared" ca="1" si="443"/>
        <v>86.371126288396198</v>
      </c>
      <c r="U730" s="47">
        <f t="shared" ca="1" si="444"/>
        <v>100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7">L732+L733</f>
        <v>0</v>
      </c>
      <c r="M731" s="47">
        <f t="shared" si="447"/>
        <v>0</v>
      </c>
      <c r="N731" s="47">
        <f t="shared" si="447"/>
        <v>0</v>
      </c>
      <c r="O731" s="47">
        <f t="shared" si="440"/>
        <v>0</v>
      </c>
      <c r="P731" s="47">
        <f t="shared" si="441"/>
        <v>0</v>
      </c>
      <c r="Q731" s="47">
        <f t="shared" ref="Q731:S731" ca="1" si="448">Q732+Q733</f>
        <v>175994</v>
      </c>
      <c r="R731" s="47">
        <f t="shared" ca="1" si="448"/>
        <v>152008</v>
      </c>
      <c r="S731" s="47">
        <f t="shared" ca="1" si="448"/>
        <v>152008</v>
      </c>
      <c r="T731" s="47">
        <f t="shared" ca="1" si="443"/>
        <v>86.371126288396198</v>
      </c>
      <c r="U731" s="47">
        <f t="shared" ca="1" si="444"/>
        <v>100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0"/>
        <v>0</v>
      </c>
      <c r="P732" s="49">
        <f t="shared" si="441"/>
        <v>0</v>
      </c>
      <c r="Q732" s="49">
        <v>0</v>
      </c>
      <c r="R732" s="49">
        <v>0</v>
      </c>
      <c r="S732" s="49">
        <v>0</v>
      </c>
      <c r="T732" s="49">
        <f t="shared" si="443"/>
        <v>0</v>
      </c>
      <c r="U732" s="49">
        <f t="shared" si="444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0"/>
        <v>0</v>
      </c>
      <c r="P733" s="47">
        <f t="shared" si="441"/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IFERROR(__xludf.DUMMYFUNCTION("IMPORTRANGE(""https://docs.google.com/spreadsheets/d/1ItG2mGa2ceCfYo0BwxsXqNm01IGEUdYcSSLTEv9YCik/edit?usp=sharing"",""เบิกจ่ายกองทุน!P78"")"),152008)</f>
        <v>152008</v>
      </c>
      <c r="S733" s="47">
        <f ca="1">IFERROR(__xludf.DUMMYFUNCTION("IMPORTRANGE(""https://docs.google.com/spreadsheets/d/1ItG2mGa2ceCfYo0BwxsXqNm01IGEUdYcSSLTEv9YCik/edit?usp=sharing"",""เบิกจ่ายกองทุน!Q78"")"),152008)</f>
        <v>152008</v>
      </c>
      <c r="T733" s="47">
        <f t="shared" ca="1" si="443"/>
        <v>86.371126288396198</v>
      </c>
      <c r="U733" s="47">
        <f t="shared" ca="1" si="444"/>
        <v>100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49">L735+L736</f>
        <v>0</v>
      </c>
      <c r="M734" s="47">
        <f t="shared" si="449"/>
        <v>0</v>
      </c>
      <c r="N734" s="47">
        <f t="shared" si="449"/>
        <v>0</v>
      </c>
      <c r="O734" s="47">
        <f t="shared" si="440"/>
        <v>0</v>
      </c>
      <c r="P734" s="47">
        <f t="shared" si="441"/>
        <v>0</v>
      </c>
      <c r="Q734" s="47">
        <f t="shared" ref="Q734:S734" si="450">Q735+Q736</f>
        <v>0</v>
      </c>
      <c r="R734" s="47">
        <f t="shared" si="450"/>
        <v>0</v>
      </c>
      <c r="S734" s="47">
        <f t="shared" si="450"/>
        <v>0</v>
      </c>
      <c r="T734" s="47">
        <f t="shared" si="443"/>
        <v>0</v>
      </c>
      <c r="U734" s="47">
        <f t="shared" si="444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0"/>
        <v>0</v>
      </c>
      <c r="P735" s="49">
        <f t="shared" si="441"/>
        <v>0</v>
      </c>
      <c r="Q735" s="49">
        <v>0</v>
      </c>
      <c r="R735" s="49">
        <v>0</v>
      </c>
      <c r="S735" s="49">
        <v>0</v>
      </c>
      <c r="T735" s="49">
        <f t="shared" si="443"/>
        <v>0</v>
      </c>
      <c r="U735" s="49">
        <f t="shared" si="444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0"/>
        <v>0</v>
      </c>
      <c r="P736" s="47">
        <f t="shared" si="441"/>
        <v>0</v>
      </c>
      <c r="Q736" s="47">
        <v>0</v>
      </c>
      <c r="R736" s="47">
        <v>0</v>
      </c>
      <c r="S736" s="47">
        <v>0</v>
      </c>
      <c r="T736" s="47">
        <f t="shared" si="443"/>
        <v>0</v>
      </c>
      <c r="U736" s="47">
        <f t="shared" si="444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IFERROR(__xludf.DUMMYFUNCTION("IMPORTRANGE(""https://docs.google.com/spreadsheets/d/1eHaY18a8A9IcSdp1K8H6x8fbOy06t2VsZHhMHf-1x7Y/edit?usp=sharing"",""แผน!GB78"")"),160)</f>
        <v>160</v>
      </c>
      <c r="J740" s="795">
        <v>160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IFERROR(__xludf.DUMMYFUNCTION("IMPORTRANGE(""https://docs.google.com/spreadsheets/d/1eHaY18a8A9IcSdp1K8H6x8fbOy06t2VsZHhMHf-1x7Y/edit?usp=sharing"",""แผน!GC78"")"),16)</f>
        <v>16</v>
      </c>
      <c r="J742" s="795">
        <v>16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IFERROR(__xludf.DUMMYFUNCTION("IMPORTRANGE(""https://docs.google.com/spreadsheets/d/1eHaY18a8A9IcSdp1K8H6x8fbOy06t2VsZHhMHf-1x7Y/edit?usp=sharing"",""แผน!GD78"")"),40)</f>
        <v>40</v>
      </c>
      <c r="J744" s="795">
        <v>40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IFERROR(__xludf.DUMMYFUNCTION("IMPORTRANGE(""https://docs.google.com/spreadsheets/d/1eHaY18a8A9IcSdp1K8H6x8fbOy06t2VsZHhMHf-1x7Y/edit?usp=sharing"",""แผน!GE78"")"),4)</f>
        <v>4</v>
      </c>
      <c r="J746" s="795">
        <v>4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IFERROR(__xludf.DUMMYFUNCTION("IMPORTRANGE(""https://docs.google.com/spreadsheets/d/1eHaY18a8A9IcSdp1K8H6x8fbOy06t2VsZHhMHf-1x7Y/edit?usp=sharing"",""แผน!GF78"")"),1)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IFERROR(__xludf.DUMMYFUNCTION("IMPORTRANGE(""https://docs.google.com/spreadsheets/d/1eHaY18a8A9IcSdp1K8H6x8fbOy06t2VsZHhMHf-1x7Y/edit?usp=sharing"",""แผน!GB78"")"),160)</f>
        <v>160</v>
      </c>
      <c r="J752" s="795">
        <v>160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IFERROR(__xludf.DUMMYFUNCTION("IMPORTRANGE(""https://docs.google.com/spreadsheets/d/1eHaY18a8A9IcSdp1K8H6x8fbOy06t2VsZHhMHf-1x7Y/edit?usp=sharing"",""แผน!GD78"")"),40)</f>
        <v>40</v>
      </c>
      <c r="J755" s="795">
        <v>40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0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hidden="1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1">I772</f>
        <v>0</v>
      </c>
      <c r="J758" s="504">
        <f t="shared" si="451"/>
        <v>0</v>
      </c>
      <c r="K758" s="505">
        <f t="shared" ref="K758:K759" ca="1" si="452">IF(I758&gt;0,J758*100/I758,0)</f>
        <v>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hidden="1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3">I774</f>
        <v>0</v>
      </c>
      <c r="J759" s="504">
        <f t="shared" si="453"/>
        <v>0</v>
      </c>
      <c r="K759" s="505">
        <f t="shared" ca="1" si="452"/>
        <v>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hidden="1" x14ac:dyDescent="0.3">
      <c r="A760" s="129"/>
      <c r="B760" s="160"/>
      <c r="C760" s="191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4">L761+L762</f>
        <v>0</v>
      </c>
      <c r="M760" s="133">
        <f t="shared" si="454"/>
        <v>0</v>
      </c>
      <c r="N760" s="133">
        <f t="shared" si="454"/>
        <v>0</v>
      </c>
      <c r="O760" s="133">
        <f t="shared" ref="O760:O768" si="455">IF(L760&gt;0,N760*100/L760,0)</f>
        <v>0</v>
      </c>
      <c r="P760" s="133">
        <f t="shared" ref="P760:P768" si="456">IF(M760&gt;0,N760*100/M760,0)</f>
        <v>0</v>
      </c>
      <c r="Q760" s="133">
        <f t="shared" ref="Q760:S760" ca="1" si="457">Q761+Q762</f>
        <v>0</v>
      </c>
      <c r="R760" s="133">
        <f t="shared" ca="1" si="457"/>
        <v>0</v>
      </c>
      <c r="S760" s="133">
        <f t="shared" ca="1" si="457"/>
        <v>0</v>
      </c>
      <c r="T760" s="133">
        <f t="shared" ref="T760:T768" ca="1" si="458">IF(Q760&gt;0,S760*100/Q760,0)</f>
        <v>0</v>
      </c>
      <c r="U760" s="133">
        <f t="shared" ref="U760:U768" ca="1" si="459">IF(R760&gt;0,S760*100/R760,0)</f>
        <v>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0">L764+L767</f>
        <v>0</v>
      </c>
      <c r="M761" s="49">
        <f t="shared" si="460"/>
        <v>0</v>
      </c>
      <c r="N761" s="49">
        <f t="shared" si="460"/>
        <v>0</v>
      </c>
      <c r="O761" s="49">
        <f t="shared" si="455"/>
        <v>0</v>
      </c>
      <c r="P761" s="49">
        <f t="shared" si="456"/>
        <v>0</v>
      </c>
      <c r="Q761" s="49">
        <f t="shared" ref="Q761:S762" si="461">Q764+Q767</f>
        <v>0</v>
      </c>
      <c r="R761" s="49">
        <f t="shared" si="461"/>
        <v>0</v>
      </c>
      <c r="S761" s="49">
        <f t="shared" si="461"/>
        <v>0</v>
      </c>
      <c r="T761" s="49">
        <f t="shared" si="458"/>
        <v>0</v>
      </c>
      <c r="U761" s="49">
        <f t="shared" si="459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0"/>
        <v>0</v>
      </c>
      <c r="M762" s="47">
        <f t="shared" si="460"/>
        <v>0</v>
      </c>
      <c r="N762" s="47">
        <f t="shared" si="460"/>
        <v>0</v>
      </c>
      <c r="O762" s="47">
        <f t="shared" si="455"/>
        <v>0</v>
      </c>
      <c r="P762" s="47">
        <f t="shared" si="456"/>
        <v>0</v>
      </c>
      <c r="Q762" s="47">
        <f t="shared" ca="1" si="461"/>
        <v>0</v>
      </c>
      <c r="R762" s="47">
        <f t="shared" ca="1" si="461"/>
        <v>0</v>
      </c>
      <c r="S762" s="47">
        <f t="shared" ca="1" si="461"/>
        <v>0</v>
      </c>
      <c r="T762" s="47">
        <f t="shared" ca="1" si="458"/>
        <v>0</v>
      </c>
      <c r="U762" s="47">
        <f t="shared" ca="1" si="459"/>
        <v>0</v>
      </c>
    </row>
    <row r="763" spans="1:21" ht="18.75" hidden="1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2">L764+L765</f>
        <v>0</v>
      </c>
      <c r="M763" s="47">
        <f t="shared" si="462"/>
        <v>0</v>
      </c>
      <c r="N763" s="47">
        <f t="shared" si="462"/>
        <v>0</v>
      </c>
      <c r="O763" s="47">
        <f t="shared" si="455"/>
        <v>0</v>
      </c>
      <c r="P763" s="47">
        <f t="shared" si="456"/>
        <v>0</v>
      </c>
      <c r="Q763" s="47">
        <f t="shared" ref="Q763:S763" ca="1" si="463">Q764+Q765</f>
        <v>0</v>
      </c>
      <c r="R763" s="47">
        <f t="shared" ca="1" si="463"/>
        <v>0</v>
      </c>
      <c r="S763" s="47">
        <f t="shared" ca="1" si="463"/>
        <v>0</v>
      </c>
      <c r="T763" s="47">
        <f t="shared" ca="1" si="458"/>
        <v>0</v>
      </c>
      <c r="U763" s="47">
        <f t="shared" ca="1" si="459"/>
        <v>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5"/>
        <v>0</v>
      </c>
      <c r="P764" s="49">
        <f t="shared" si="456"/>
        <v>0</v>
      </c>
      <c r="Q764" s="49">
        <v>0</v>
      </c>
      <c r="R764" s="49">
        <v>0</v>
      </c>
      <c r="S764" s="49">
        <v>0</v>
      </c>
      <c r="T764" s="49">
        <f t="shared" si="458"/>
        <v>0</v>
      </c>
      <c r="U764" s="49">
        <f t="shared" si="459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5"/>
        <v>0</v>
      </c>
      <c r="P765" s="47">
        <f t="shared" si="456"/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t="shared" ca="1" si="458"/>
        <v>0</v>
      </c>
      <c r="U765" s="47">
        <f t="shared" ca="1" si="459"/>
        <v>0</v>
      </c>
    </row>
    <row r="766" spans="1:21" ht="18.75" hidden="1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4">L767+L768</f>
        <v>0</v>
      </c>
      <c r="M766" s="47">
        <f t="shared" si="464"/>
        <v>0</v>
      </c>
      <c r="N766" s="47">
        <f t="shared" si="464"/>
        <v>0</v>
      </c>
      <c r="O766" s="47">
        <f t="shared" si="455"/>
        <v>0</v>
      </c>
      <c r="P766" s="47">
        <f t="shared" si="456"/>
        <v>0</v>
      </c>
      <c r="Q766" s="47">
        <f t="shared" ref="Q766:S766" si="465">Q767+Q768</f>
        <v>0</v>
      </c>
      <c r="R766" s="47">
        <f t="shared" si="465"/>
        <v>0</v>
      </c>
      <c r="S766" s="47">
        <f t="shared" si="465"/>
        <v>0</v>
      </c>
      <c r="T766" s="47">
        <f t="shared" si="458"/>
        <v>0</v>
      </c>
      <c r="U766" s="47">
        <f t="shared" si="459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5"/>
        <v>0</v>
      </c>
      <c r="P767" s="49">
        <f t="shared" si="456"/>
        <v>0</v>
      </c>
      <c r="Q767" s="49">
        <v>0</v>
      </c>
      <c r="R767" s="49">
        <v>0</v>
      </c>
      <c r="S767" s="49">
        <v>0</v>
      </c>
      <c r="T767" s="49">
        <f t="shared" si="458"/>
        <v>0</v>
      </c>
      <c r="U767" s="49">
        <f t="shared" si="459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5"/>
        <v>0</v>
      </c>
      <c r="P768" s="47">
        <f t="shared" si="456"/>
        <v>0</v>
      </c>
      <c r="Q768" s="47">
        <v>0</v>
      </c>
      <c r="R768" s="47">
        <v>0</v>
      </c>
      <c r="S768" s="47">
        <v>0</v>
      </c>
      <c r="T768" s="47">
        <f t="shared" si="458"/>
        <v>0</v>
      </c>
      <c r="U768" s="47">
        <f t="shared" si="459"/>
        <v>0</v>
      </c>
    </row>
    <row r="769" spans="1:21" ht="19.5" hidden="1" x14ac:dyDescent="0.3">
      <c r="A769" s="139"/>
      <c r="B769" s="140"/>
      <c r="C769" s="525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IFERROR(__xludf.DUMMYFUNCTION("IMPORTRANGE(""https://docs.google.com/spreadsheets/d/1eHaY18a8A9IcSdp1K8H6x8fbOy06t2VsZHhMHf-1x7Y/edit?usp=sharing"",""แผน!FI78"")"),1)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IFERROR(__xludf.DUMMYFUNCTION("IMPORTRANGE(""https://docs.google.com/spreadsheets/d/1eHaY18a8A9IcSdp1K8H6x8fbOy06t2VsZHhMHf-1x7Y/edit?usp=sharing"",""แผน!FQ78"")"),0)</f>
        <v>0</v>
      </c>
      <c r="J772" s="169">
        <v>0</v>
      </c>
      <c r="K772" s="47">
        <f ca="1">IF(I772&gt;0,J772*100/I772,0)</f>
        <v>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IFERROR(__xludf.DUMMYFUNCTION("IMPORTRANGE(""https://docs.google.com/spreadsheets/d/1eHaY18a8A9IcSdp1K8H6x8fbOy06t2VsZHhMHf-1x7Y/edit?usp=sharing"",""แผน!FR78"")"),0)</f>
        <v>0</v>
      </c>
      <c r="J774" s="169">
        <v>0</v>
      </c>
      <c r="K774" s="47">
        <f ca="1">IF(I774&gt;0,J774*100/I774,0)</f>
        <v>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IFERROR(__xludf.DUMMYFUNCTION("IMPORTRANGE(""https://docs.google.com/spreadsheets/d/1eHaY18a8A9IcSdp1K8H6x8fbOy06t2VsZHhMHf-1x7Y/edit?usp=sharing"",""แผน!FS78"")"),0)</f>
        <v>0</v>
      </c>
      <c r="J775" s="169">
        <v>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IFERROR(__xludf.DUMMYFUNCTION("IMPORTRANGE(""https://docs.google.com/spreadsheets/d/1eHaY18a8A9IcSdp1K8H6x8fbOy06t2VsZHhMHf-1x7Y/edit?usp=sharing"",""แผน!FT78"")"),0)</f>
        <v>0</v>
      </c>
      <c r="J776" s="378">
        <v>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IFERROR(__xludf.DUMMYFUNCTION("IMPORTRANGE(""https://docs.google.com/spreadsheets/d/10OvvATaaLtwErnr3qtWFcTmtbfpFEt5Bsqel9sXx0uE/edit?usp=sharing"",""งานกองทุน!D78"")"),2182922.15)</f>
        <v>2182922.15</v>
      </c>
      <c r="J778" s="372">
        <f ca="1">IFERROR(__xludf.DUMMYFUNCTION("IMPORTRANGE(""https://docs.google.com/spreadsheets/d/10OvvATaaLtwErnr3qtWFcTmtbfpFEt5Bsqel9sXx0uE/edit?usp=sharing"",""งานกองทุน!F78"")"),1810068.2)</f>
        <v>1810068.2</v>
      </c>
      <c r="K778" s="47">
        <f t="shared" ref="K778:K785" ca="1" si="466">IF(I778&gt;0,J778*100/I778,0)</f>
        <v>82.919503107337107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IFERROR(__xludf.DUMMYFUNCTION("IMPORTRANGE(""https://docs.google.com/spreadsheets/d/10OvvATaaLtwErnr3qtWFcTmtbfpFEt5Bsqel9sXx0uE/edit?usp=sharing"",""งานกองทุน!C78"")"),123)</f>
        <v>123</v>
      </c>
      <c r="J779" s="372">
        <f ca="1">IFERROR(__xludf.DUMMYFUNCTION("IMPORTRANGE(""https://docs.google.com/spreadsheets/d/10OvvATaaLtwErnr3qtWFcTmtbfpFEt5Bsqel9sXx0uE/edit?usp=sharing"",""งานกองทุน!E78"")"),126)</f>
        <v>126</v>
      </c>
      <c r="K779" s="47">
        <f t="shared" ca="1" si="466"/>
        <v>102.4390243902439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372">
        <f ca="1">IFERROR(__xludf.DUMMYFUNCTION("IMPORTRANGE(""https://docs.google.com/spreadsheets/d/10OvvATaaLtwErnr3qtWFcTmtbfpFEt5Bsqel9sXx0uE/edit?usp=sharing"",""งานกองทุน!K78"")"),426935.54)</f>
        <v>426935.54</v>
      </c>
      <c r="K780" s="47">
        <f t="shared" ca="1" si="466"/>
        <v>18.469576332936111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IFERROR(__xludf.DUMMYFUNCTION("IMPORTRANGE(""https://docs.google.com/spreadsheets/d/10OvvATaaLtwErnr3qtWFcTmtbfpFEt5Bsqel9sXx0uE/edit?usp=sharing"",""งานกองทุน!H78"")"),99)</f>
        <v>99</v>
      </c>
      <c r="J781" s="372">
        <f ca="1">IFERROR(__xludf.DUMMYFUNCTION("IMPORTRANGE(""https://docs.google.com/spreadsheets/d/10OvvATaaLtwErnr3qtWFcTmtbfpFEt5Bsqel9sXx0uE/edit?usp=sharing"",""งานกองทุน!J78"")"),63)</f>
        <v>63</v>
      </c>
      <c r="K781" s="47">
        <f t="shared" ca="1" si="466"/>
        <v>63.636363636363633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IFERROR(__xludf.DUMMYFUNCTION("IMPORTRANGE(""https://docs.google.com/spreadsheets/d/10OvvATaaLtwErnr3qtWFcTmtbfpFEt5Bsqel9sXx0uE/edit?usp=sharing"",""งานกองทุน!N78"")"),0)</f>
        <v>0</v>
      </c>
      <c r="J782" s="37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t="shared" ca="1" si="466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IFERROR(__xludf.DUMMYFUNCTION("IMPORTRANGE(""https://docs.google.com/spreadsheets/d/10OvvATaaLtwErnr3qtWFcTmtbfpFEt5Bsqel9sXx0uE/edit?usp=sharing"",""งานกองทุน!M78"")"),0)</f>
        <v>0</v>
      </c>
      <c r="J783" s="37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t="shared" ca="1" si="466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IFERROR(__xludf.DUMMYFUNCTION("IMPORTRANGE(""https://docs.google.com/spreadsheets/d/10OvvATaaLtwErnr3qtWFcTmtbfpFEt5Bsqel9sXx0uE/edit?usp=sharing"",""งานกองทุน!S78"")"),3500000)</f>
        <v>3500000</v>
      </c>
      <c r="J784" s="372">
        <f ca="1">IFERROR(__xludf.DUMMYFUNCTION("IMPORTRANGE(""https://docs.google.com/spreadsheets/d/10OvvATaaLtwErnr3qtWFcTmtbfpFEt5Bsqel9sXx0uE/edit?usp=sharing"",""งานกองทุน!U78"")"),3470000)</f>
        <v>3470000</v>
      </c>
      <c r="K784" s="47">
        <f t="shared" ca="1" si="466"/>
        <v>99.142857142857139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IFERROR(__xludf.DUMMYFUNCTION("IMPORTRANGE(""https://docs.google.com/spreadsheets/d/10OvvATaaLtwErnr3qtWFcTmtbfpFEt5Bsqel9sXx0uE/edit?usp=sharing"",""งานกองทุน!R78"")"),125)</f>
        <v>125</v>
      </c>
      <c r="J785" s="205">
        <f ca="1">IFERROR(__xludf.DUMMYFUNCTION("IMPORTRANGE(""https://docs.google.com/spreadsheets/d/10OvvATaaLtwErnr3qtWFcTmtbfpFEt5Bsqel9sXx0uE/edit?usp=sharing"",""งานกองทุน!T78"")"),90)</f>
        <v>90</v>
      </c>
      <c r="K785" s="111">
        <f t="shared" ca="1" si="466"/>
        <v>72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E6EAD-42D6-4C10-984A-428CA61C191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324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1933360</v>
      </c>
      <c r="M18" s="35">
        <f t="shared" ca="1" si="0"/>
        <v>2303514</v>
      </c>
      <c r="N18" s="35">
        <f t="shared" ca="1" si="0"/>
        <v>2146034.4000000004</v>
      </c>
      <c r="O18" s="35">
        <f t="shared" ref="O18:O26" ca="1" si="1">IF(L18&gt;0,N18*100/L18,0)</f>
        <v>111.00024827243763</v>
      </c>
      <c r="P18" s="35">
        <f t="shared" ref="P18:P26" ca="1" si="2">IF(M18&gt;0,N18*100/M18,0)</f>
        <v>93.163505843680582</v>
      </c>
      <c r="Q18" s="35">
        <f t="shared" ref="Q18:S18" ca="1" si="3">Q19+Q20</f>
        <v>653547</v>
      </c>
      <c r="R18" s="35">
        <f t="shared" ca="1" si="3"/>
        <v>614897</v>
      </c>
      <c r="S18" s="35">
        <f t="shared" ca="1" si="3"/>
        <v>750247</v>
      </c>
      <c r="T18" s="35">
        <f t="shared" ref="T18:T26" ca="1" si="4">IF(Q18&gt;0,S18*100/Q18,0)</f>
        <v>114.79618145290239</v>
      </c>
      <c r="U18" s="35">
        <f t="shared" ref="U18:U26" ca="1" si="5">IF(R18&gt;0,S18*100/R18,0)</f>
        <v>122.01181661318887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1933360</v>
      </c>
      <c r="M20" s="39">
        <f t="shared" ca="1" si="6"/>
        <v>2303514</v>
      </c>
      <c r="N20" s="39">
        <f t="shared" ca="1" si="6"/>
        <v>2146034.4000000004</v>
      </c>
      <c r="O20" s="39">
        <f t="shared" ca="1" si="1"/>
        <v>111.00024827243763</v>
      </c>
      <c r="P20" s="39">
        <f t="shared" ca="1" si="2"/>
        <v>93.163505843680582</v>
      </c>
      <c r="Q20" s="39">
        <f t="shared" ca="1" si="7"/>
        <v>653547</v>
      </c>
      <c r="R20" s="39">
        <f t="shared" ca="1" si="7"/>
        <v>614897</v>
      </c>
      <c r="S20" s="39">
        <f t="shared" ca="1" si="7"/>
        <v>750247</v>
      </c>
      <c r="T20" s="39">
        <f t="shared" ca="1" si="4"/>
        <v>114.79618145290239</v>
      </c>
      <c r="U20" s="39">
        <f t="shared" ca="1" si="5"/>
        <v>122.01181661318887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1933360</v>
      </c>
      <c r="M21" s="47">
        <f t="shared" ca="1" si="8"/>
        <v>2203514</v>
      </c>
      <c r="N21" s="47">
        <f t="shared" ca="1" si="8"/>
        <v>2046034.4000000001</v>
      </c>
      <c r="O21" s="47">
        <f t="shared" ca="1" si="1"/>
        <v>105.82790582198867</v>
      </c>
      <c r="P21" s="47">
        <f t="shared" ca="1" si="2"/>
        <v>92.853251669832815</v>
      </c>
      <c r="Q21" s="47">
        <f t="shared" ref="Q21:S21" ca="1" si="9">Q22+Q23</f>
        <v>653547</v>
      </c>
      <c r="R21" s="47">
        <f t="shared" ca="1" si="9"/>
        <v>614897</v>
      </c>
      <c r="S21" s="47">
        <f t="shared" ca="1" si="9"/>
        <v>750247</v>
      </c>
      <c r="T21" s="47">
        <f t="shared" ca="1" si="4"/>
        <v>114.79618145290239</v>
      </c>
      <c r="U21" s="47">
        <f t="shared" ca="1" si="5"/>
        <v>122.01181661318887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1933360</v>
      </c>
      <c r="M23" s="47">
        <f t="shared" ca="1" si="12"/>
        <v>2203514</v>
      </c>
      <c r="N23" s="47">
        <f t="shared" ca="1" si="12"/>
        <v>2046034.4000000001</v>
      </c>
      <c r="O23" s="47">
        <f t="shared" ca="1" si="1"/>
        <v>105.82790582198867</v>
      </c>
      <c r="P23" s="47">
        <f t="shared" ca="1" si="2"/>
        <v>92.853251669832815</v>
      </c>
      <c r="Q23" s="47">
        <f t="shared" ca="1" si="11"/>
        <v>653547</v>
      </c>
      <c r="R23" s="47">
        <f t="shared" ca="1" si="11"/>
        <v>614897</v>
      </c>
      <c r="S23" s="47">
        <f t="shared" ca="1" si="11"/>
        <v>750247</v>
      </c>
      <c r="T23" s="47">
        <f t="shared" ca="1" si="4"/>
        <v>114.79618145290239</v>
      </c>
      <c r="U23" s="47">
        <f t="shared" ca="1" si="5"/>
        <v>122.01181661318887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100000</v>
      </c>
      <c r="N24" s="47">
        <f t="shared" ca="1" si="13"/>
        <v>100000</v>
      </c>
      <c r="O24" s="47">
        <f t="shared" ca="1" si="1"/>
        <v>0</v>
      </c>
      <c r="P24" s="47">
        <f t="shared" ca="1" si="2"/>
        <v>100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0</v>
      </c>
      <c r="M26" s="47">
        <f t="shared" ca="1" si="17"/>
        <v>100000</v>
      </c>
      <c r="N26" s="47">
        <f t="shared" ca="1" si="17"/>
        <v>100000</v>
      </c>
      <c r="O26" s="47">
        <f t="shared" ca="1" si="1"/>
        <v>0</v>
      </c>
      <c r="P26" s="47">
        <f t="shared" ca="1" si="2"/>
        <v>100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1725180</v>
      </c>
      <c r="M40" s="594">
        <f t="shared" ca="1" si="18"/>
        <v>2065334</v>
      </c>
      <c r="N40" s="594">
        <f t="shared" ca="1" si="18"/>
        <v>1972417.36</v>
      </c>
      <c r="O40" s="594">
        <f ca="1">IF(L40&gt;0,N40*100/L40,0)</f>
        <v>114.33110516004128</v>
      </c>
      <c r="P40" s="594">
        <f ca="1">IF(M40&gt;0,N40*100/M40,0)</f>
        <v>95.501132504476274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358900</v>
      </c>
      <c r="M44" s="79">
        <f t="shared" ca="1" si="19"/>
        <v>472329</v>
      </c>
      <c r="N44" s="79">
        <f t="shared" ca="1" si="19"/>
        <v>472329</v>
      </c>
      <c r="O44" s="79">
        <f t="shared" ref="O44:O52" ca="1" si="20">IF(L44&gt;0,N44*100/L44,0)</f>
        <v>131.60462524380051</v>
      </c>
      <c r="P44" s="79">
        <f t="shared" ref="P44:P52" ca="1" si="21">IF(M44&gt;0,N44*100/M44,0)</f>
        <v>100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358900</v>
      </c>
      <c r="M46" s="83">
        <f t="shared" ca="1" si="25"/>
        <v>472329</v>
      </c>
      <c r="N46" s="83">
        <f t="shared" ca="1" si="25"/>
        <v>472329</v>
      </c>
      <c r="O46" s="83">
        <f t="shared" ca="1" si="20"/>
        <v>131.60462524380051</v>
      </c>
      <c r="P46" s="83">
        <f t="shared" ca="1" si="21"/>
        <v>100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358900</v>
      </c>
      <c r="M47" s="47">
        <f t="shared" ca="1" si="27"/>
        <v>472329</v>
      </c>
      <c r="N47" s="47">
        <f t="shared" ca="1" si="27"/>
        <v>472329</v>
      </c>
      <c r="O47" s="47">
        <f t="shared" ca="1" si="20"/>
        <v>131.60462524380051</v>
      </c>
      <c r="P47" s="47">
        <f t="shared" ca="1" si="21"/>
        <v>100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IFERROR(__xludf.DUMMYFUNCTION("IMPORTRANGE(""https://docs.google.com/spreadsheets/d/1-uDff_7J0KD5mKrp0Vvzr7lt3OU09vwQwhkpOPPYv2Y/edit?usp=sharing"",""งบพรบ!V79"")"),472329)</f>
        <v>472329</v>
      </c>
      <c r="N49" s="47">
        <f ca="1">IFERROR(__xludf.DUMMYFUNCTION("IMPORTRANGE(""https://docs.google.com/spreadsheets/d/1-uDff_7J0KD5mKrp0Vvzr7lt3OU09vwQwhkpOPPYv2Y/edit?usp=sharing"",""งบพรบ!Y79"")"),472329)</f>
        <v>472329</v>
      </c>
      <c r="O49" s="47">
        <f t="shared" ca="1" si="20"/>
        <v>131.60462524380051</v>
      </c>
      <c r="P49" s="47">
        <f t="shared" ca="1" si="21"/>
        <v>100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567100</v>
      </c>
      <c r="M59" s="106">
        <f t="shared" ca="1" si="31"/>
        <v>667100</v>
      </c>
      <c r="N59" s="106">
        <f t="shared" ca="1" si="31"/>
        <v>633272.55000000005</v>
      </c>
      <c r="O59" s="106">
        <f t="shared" ref="O59:O67" ca="1" si="32">IF(L59&gt;0,N59*100/L59,0)</f>
        <v>111.66858578733911</v>
      </c>
      <c r="P59" s="106">
        <f t="shared" ref="P59:P67" ca="1" si="33">IF(M59&gt;0,N59*100/M59,0)</f>
        <v>94.929178533952935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567100</v>
      </c>
      <c r="M61" s="109">
        <f t="shared" ca="1" si="37"/>
        <v>667100</v>
      </c>
      <c r="N61" s="109">
        <f t="shared" ca="1" si="37"/>
        <v>633272.55000000005</v>
      </c>
      <c r="O61" s="109">
        <f t="shared" ca="1" si="32"/>
        <v>111.66858578733911</v>
      </c>
      <c r="P61" s="109">
        <f t="shared" ca="1" si="33"/>
        <v>94.929178533952935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567100</v>
      </c>
      <c r="M62" s="47">
        <f t="shared" ca="1" si="39"/>
        <v>567100</v>
      </c>
      <c r="N62" s="47">
        <f t="shared" ca="1" si="39"/>
        <v>533272.55000000005</v>
      </c>
      <c r="O62" s="47">
        <f t="shared" ca="1" si="32"/>
        <v>94.035011461823331</v>
      </c>
      <c r="P62" s="47">
        <f t="shared" ca="1" si="33"/>
        <v>94.035011461823331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IFERROR(__xludf.DUMMYFUNCTION("IMPORTRANGE(""https://docs.google.com/spreadsheets/d/1-uDff_7J0KD5mKrp0Vvzr7lt3OU09vwQwhkpOPPYv2Y/edit?usp=sharing"",""งบพรบ!AJ79"")"),533272.55)</f>
        <v>533272.55000000005</v>
      </c>
      <c r="O64" s="47">
        <f t="shared" ca="1" si="32"/>
        <v>94.035011461823331</v>
      </c>
      <c r="P64" s="47">
        <f t="shared" ca="1" si="33"/>
        <v>94.035011461823331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0</v>
      </c>
      <c r="M65" s="47">
        <f t="shared" ca="1" si="41"/>
        <v>100000</v>
      </c>
      <c r="N65" s="47">
        <f t="shared" ca="1" si="41"/>
        <v>100000</v>
      </c>
      <c r="O65" s="47">
        <f t="shared" ca="1" si="32"/>
        <v>0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IFERROR(__xludf.DUMMYFUNCTION("IMPORTRANGE(""https://docs.google.com/spreadsheets/d/1-uDff_7J0KD5mKrp0Vvzr7lt3OU09vwQwhkpOPPYv2Y/edit?usp=sharing"",""งบพรบ!AI79"")"),100000)</f>
        <v>100000</v>
      </c>
      <c r="N67" s="111">
        <f ca="1">IFERROR(__xludf.DUMMYFUNCTION("IMPORTRANGE(""https://docs.google.com/spreadsheets/d/1-uDff_7J0KD5mKrp0Vvzr7lt3OU09vwQwhkpOPPYv2Y/edit?usp=sharing"",""งบพรบ!AK79"")"),100000)</f>
        <v>100000</v>
      </c>
      <c r="O67" s="111">
        <f t="shared" ca="1" si="32"/>
        <v>0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IFERROR(__xludf.DUMMYFUNCTION("IMPORTRANGE(""https://docs.google.com/spreadsheets/d/1eHaY18a8A9IcSdp1K8H6x8fbOy06t2VsZHhMHf-1x7Y/edit?usp=sharing"",""แผน!H79"")"),0)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IFERROR(__xludf.DUMMYFUNCTION("IMPORTRANGE(""https://docs.google.com/spreadsheets/d/1eHaY18a8A9IcSdp1K8H6x8fbOy06t2VsZHhMHf-1x7Y/edit?usp=sharing"",""แผน!I79"")"),0)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IFERROR(__xludf.DUMMYFUNCTION("IMPORTRANGE(""https://docs.google.com/spreadsheets/d/1eHaY18a8A9IcSdp1K8H6x8fbOy06t2VsZHhMHf-1x7Y/edit?usp=sharing"",""แผน!F79"")"),0)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IFERROR(__xludf.DUMMYFUNCTION("IMPORTRANGE(""https://docs.google.com/spreadsheets/d/1eHaY18a8A9IcSdp1K8H6x8fbOy06t2VsZHhMHf-1x7Y/edit?usp=sharing"",""แผน!G79"")"),0)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IFERROR(__xludf.DUMMYFUNCTION("IMPORTRANGE(""https://docs.google.com/spreadsheets/d/1eHaY18a8A9IcSdp1K8H6x8fbOy06t2VsZHhMHf-1x7Y/edit?usp=sharing"",""แผน!D79"")"),0)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IFERROR(__xludf.DUMMYFUNCTION("IMPORTRANGE(""https://docs.google.com/spreadsheets/d/1eHaY18a8A9IcSdp1K8H6x8fbOy06t2VsZHhMHf-1x7Y/edit?usp=sharing"",""แผน!E79"")"),0)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IFERROR(__xludf.DUMMYFUNCTION("IMPORTRANGE(""https://docs.google.com/spreadsheets/d/1eHaY18a8A9IcSdp1K8H6x8fbOy06t2VsZHhMHf-1x7Y/edit?usp=sharing"",""แผน!J79"")"),0)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60</v>
      </c>
      <c r="J92" s="128">
        <f t="shared" si="59"/>
        <v>60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20</v>
      </c>
      <c r="J93" s="128">
        <f t="shared" si="59"/>
        <v>20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12000</v>
      </c>
      <c r="M94" s="133">
        <f t="shared" ca="1" si="61"/>
        <v>12000</v>
      </c>
      <c r="N94" s="133">
        <f t="shared" ca="1" si="61"/>
        <v>12000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168840</v>
      </c>
      <c r="R94" s="133">
        <f t="shared" ca="1" si="64"/>
        <v>141370</v>
      </c>
      <c r="S94" s="133">
        <f t="shared" ca="1" si="64"/>
        <v>139670</v>
      </c>
      <c r="T94" s="133">
        <f t="shared" ref="T94:T102" ca="1" si="65">IF(Q94&gt;0,S94*100/Q94,0)</f>
        <v>82.72328832030324</v>
      </c>
      <c r="U94" s="133">
        <f t="shared" ref="U94:U102" ca="1" si="66">IF(R94&gt;0,S94*100/R94,0)</f>
        <v>98.79748178538587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12000</v>
      </c>
      <c r="M96" s="47">
        <f t="shared" ca="1" si="67"/>
        <v>12000</v>
      </c>
      <c r="N96" s="47">
        <f t="shared" ca="1" si="67"/>
        <v>12000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168840</v>
      </c>
      <c r="R96" s="47">
        <f t="shared" ca="1" si="68"/>
        <v>141370</v>
      </c>
      <c r="S96" s="47">
        <f t="shared" ca="1" si="68"/>
        <v>139670</v>
      </c>
      <c r="T96" s="47">
        <f t="shared" ca="1" si="65"/>
        <v>82.72328832030324</v>
      </c>
      <c r="U96" s="47">
        <f t="shared" ca="1" si="66"/>
        <v>98.79748178538587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12000</v>
      </c>
      <c r="M97" s="47">
        <f t="shared" ca="1" si="69"/>
        <v>12000</v>
      </c>
      <c r="N97" s="47">
        <f t="shared" ca="1" si="69"/>
        <v>12000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168840</v>
      </c>
      <c r="R97" s="47">
        <f t="shared" ca="1" si="70"/>
        <v>141370</v>
      </c>
      <c r="S97" s="47">
        <f t="shared" ca="1" si="70"/>
        <v>139670</v>
      </c>
      <c r="T97" s="47">
        <f t="shared" ca="1" si="65"/>
        <v>82.72328832030324</v>
      </c>
      <c r="U97" s="47">
        <f t="shared" ca="1" si="66"/>
        <v>98.79748178538587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IFERROR(__xludf.DUMMYFUNCTION("IMPORTRANGE(""https://docs.google.com/spreadsheets/d/1-uDff_7J0KD5mKrp0Vvzr7lt3OU09vwQwhkpOPPYv2Y/edit?usp=sharing"",""งบพรบ!AW79"")"),12000)</f>
        <v>12000</v>
      </c>
      <c r="M99" s="47">
        <f ca="1">IFERROR(__xludf.DUMMYFUNCTION("IMPORTRANGE(""https://docs.google.com/spreadsheets/d/1-uDff_7J0KD5mKrp0Vvzr7lt3OU09vwQwhkpOPPYv2Y/edit?usp=sharing"",""งบพรบ!BB79"")"),12000)</f>
        <v>12000</v>
      </c>
      <c r="N99" s="47">
        <f ca="1">IFERROR(__xludf.DUMMYFUNCTION("IMPORTRANGE(""https://docs.google.com/spreadsheets/d/1-uDff_7J0KD5mKrp0Vvzr7lt3OU09vwQwhkpOPPYv2Y/edit?usp=sharing"",""งบพรบ!BD79"")"),12000)</f>
        <v>12000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IFERROR(__xludf.DUMMYFUNCTION("IMPORTRANGE(""https://docs.google.com/spreadsheets/d/1ItG2mGa2ceCfYo0BwxsXqNm01IGEUdYcSSLTEv9YCik/edit?usp=sharing"",""เบิกจ่ายกองทุน!AK79"")"),141370)</f>
        <v>141370</v>
      </c>
      <c r="S99" s="47">
        <f ca="1">IFERROR(__xludf.DUMMYFUNCTION("IMPORTRANGE(""https://docs.google.com/spreadsheets/d/1ItG2mGa2ceCfYo0BwxsXqNm01IGEUdYcSSLTEv9YCik/edit?usp=sharing"",""เบิกจ่ายกองทุน!AL79"")"),139670)</f>
        <v>139670</v>
      </c>
      <c r="T99" s="47">
        <f t="shared" ca="1" si="65"/>
        <v>82.72328832030324</v>
      </c>
      <c r="U99" s="47">
        <f t="shared" ca="1" si="66"/>
        <v>98.79748178538587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IFERROR(__xludf.DUMMYFUNCTION("IMPORTRANGE(""https://docs.google.com/spreadsheets/d/1eHaY18a8A9IcSdp1K8H6x8fbOy06t2VsZHhMHf-1x7Y/edit?usp=sharing"",""แผน!N79"")"),60)</f>
        <v>60</v>
      </c>
      <c r="J108" s="169">
        <v>60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IFERROR(__xludf.DUMMYFUNCTION("IMPORTRANGE(""https://docs.google.com/spreadsheets/d/1eHaY18a8A9IcSdp1K8H6x8fbOy06t2VsZHhMHf-1x7Y/edit?usp=sharing"",""แผน!O79"")"),20)</f>
        <v>20</v>
      </c>
      <c r="J109" s="169">
        <v>20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IFERROR(__xludf.DUMMYFUNCTION("IMPORTRANGE(""https://docs.google.com/spreadsheets/d/1eHaY18a8A9IcSdp1K8H6x8fbOy06t2VsZHhMHf-1x7Y/edit?usp=sharing"",""แผน!N79"")"),60)</f>
        <v>60</v>
      </c>
      <c r="J113" s="178">
        <v>60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IFERROR(__xludf.DUMMYFUNCTION("IMPORTRANGE(""https://docs.google.com/spreadsheets/d/1eHaY18a8A9IcSdp1K8H6x8fbOy06t2VsZHhMHf-1x7Y/edit?usp=sharing"",""แผน!O79"")"),20)</f>
        <v>20</v>
      </c>
      <c r="J114" s="169">
        <v>20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25</v>
      </c>
      <c r="J116" s="128">
        <f t="shared" si="75"/>
        <v>25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229220</v>
      </c>
      <c r="R117" s="133">
        <f t="shared" ca="1" si="79"/>
        <v>227915</v>
      </c>
      <c r="S117" s="133">
        <f t="shared" ca="1" si="79"/>
        <v>364965</v>
      </c>
      <c r="T117" s="133">
        <f t="shared" ref="T117:T125" ca="1" si="80">IF(Q117&gt;0,S117*100/Q117,0)</f>
        <v>159.22039961608934</v>
      </c>
      <c r="U117" s="133">
        <f t="shared" ref="U117:U125" ca="1" si="81">IF(R117&gt;0,S117*100/R117,0)</f>
        <v>160.13206677928176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229220</v>
      </c>
      <c r="R119" s="47">
        <f t="shared" ca="1" si="83"/>
        <v>227915</v>
      </c>
      <c r="S119" s="47">
        <f t="shared" ca="1" si="83"/>
        <v>364965</v>
      </c>
      <c r="T119" s="47">
        <f t="shared" ca="1" si="80"/>
        <v>159.22039961608934</v>
      </c>
      <c r="U119" s="47">
        <f t="shared" ca="1" si="81"/>
        <v>160.13206677928176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229220</v>
      </c>
      <c r="R120" s="47">
        <f t="shared" ca="1" si="85"/>
        <v>227915</v>
      </c>
      <c r="S120" s="47">
        <f t="shared" ca="1" si="85"/>
        <v>364965</v>
      </c>
      <c r="T120" s="47">
        <f t="shared" ca="1" si="80"/>
        <v>159.22039961608934</v>
      </c>
      <c r="U120" s="47">
        <f t="shared" ca="1" si="81"/>
        <v>160.13206677928176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IFERROR(__xludf.DUMMYFUNCTION("IMPORTRANGE(""https://docs.google.com/spreadsheets/d/1ItG2mGa2ceCfYo0BwxsXqNm01IGEUdYcSSLTEv9YCik/edit?usp=sharing"",""เบิกจ่ายกองทุน!V79"")"),227915)</f>
        <v>227915</v>
      </c>
      <c r="S122" s="47">
        <f ca="1">IFERROR(__xludf.DUMMYFUNCTION("IMPORTRANGE(""https://docs.google.com/spreadsheets/d/1ItG2mGa2ceCfYo0BwxsXqNm01IGEUdYcSSLTEv9YCik/edit?usp=sharing"",""เบิกจ่ายกองทุน!W79"")"),364965)</f>
        <v>364965</v>
      </c>
      <c r="T122" s="47">
        <f t="shared" ca="1" si="80"/>
        <v>159.22039961608934</v>
      </c>
      <c r="U122" s="47">
        <f t="shared" ca="1" si="81"/>
        <v>160.13206677928176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0</v>
      </c>
      <c r="R123" s="47">
        <f t="shared" ca="1" si="87"/>
        <v>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IFERROR(__xludf.DUMMYFUNCTION("IMPORTRANGE(""https://docs.google.com/spreadsheets/d/1eHaY18a8A9IcSdp1K8H6x8fbOy06t2VsZHhMHf-1x7Y/edit?usp=sharing"",""แผน!FF79"")"),25)</f>
        <v>25</v>
      </c>
      <c r="J127" s="169">
        <v>25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IFERROR(__xludf.DUMMYFUNCTION("IMPORTRANGE(""https://docs.google.com/spreadsheets/d/1eHaY18a8A9IcSdp1K8H6x8fbOy06t2VsZHhMHf-1x7Y/edit?usp=sharing"",""แผน!FG79"")"),2)</f>
        <v>2</v>
      </c>
      <c r="J128" s="169">
        <v>2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IFERROR(__xludf.DUMMYFUNCTION("IMPORTRANGE(""https://docs.google.com/spreadsheets/d/1eHaY18a8A9IcSdp1K8H6x8fbOy06t2VsZHhMHf-1x7Y/edit?usp=sharing"",""แผน!FH79"")"),25)</f>
        <v>25</v>
      </c>
      <c r="J129" s="169">
        <v>25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IFERROR(__xludf.DUMMYFUNCTION("IMPORTRANGE(""https://docs.google.com/spreadsheets/d/1eHaY18a8A9IcSdp1K8H6x8fbOy06t2VsZHhMHf-1x7Y/edit?usp=sharing"",""แผน!FI79"")"),2)</f>
        <v>2</v>
      </c>
      <c r="J130" s="169">
        <v>2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0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0</v>
      </c>
      <c r="J137" s="128">
        <f t="shared" si="91"/>
        <v>0</v>
      </c>
      <c r="K137" s="35">
        <f t="shared" ca="1" si="90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0</v>
      </c>
      <c r="J138" s="128">
        <f t="shared" si="91"/>
        <v>0</v>
      </c>
      <c r="K138" s="35">
        <f t="shared" ca="1" si="90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0</v>
      </c>
      <c r="M139" s="133">
        <f t="shared" ca="1" si="92"/>
        <v>0</v>
      </c>
      <c r="N139" s="133">
        <f t="shared" ca="1" si="92"/>
        <v>0</v>
      </c>
      <c r="O139" s="133">
        <f t="shared" ref="O139:O147" ca="1" si="93">IF(L139&gt;0,N139*100/L139,0)</f>
        <v>0</v>
      </c>
      <c r="P139" s="133">
        <f t="shared" ref="P139:P147" ca="1" si="94">IF(M139&gt;0,N139*100/M139,0)</f>
        <v>0</v>
      </c>
      <c r="Q139" s="133">
        <f t="shared" ref="Q139:S139" ca="1" si="95">Q140+Q141</f>
        <v>0</v>
      </c>
      <c r="R139" s="133">
        <f t="shared" ca="1" si="95"/>
        <v>0</v>
      </c>
      <c r="S139" s="133">
        <f t="shared" ca="1" si="95"/>
        <v>0</v>
      </c>
      <c r="T139" s="133">
        <f t="shared" ref="T139:T147" ca="1" si="96">IF(Q139&gt;0,S139*100/Q139,0)</f>
        <v>0</v>
      </c>
      <c r="U139" s="133">
        <f t="shared" ref="U139:U147" ca="1" si="97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0</v>
      </c>
      <c r="M141" s="47">
        <f t="shared" ca="1" si="98"/>
        <v>0</v>
      </c>
      <c r="N141" s="47">
        <f t="shared" ca="1" si="98"/>
        <v>0</v>
      </c>
      <c r="O141" s="47">
        <f t="shared" ca="1" si="93"/>
        <v>0</v>
      </c>
      <c r="P141" s="47">
        <f t="shared" ca="1" si="94"/>
        <v>0</v>
      </c>
      <c r="Q141" s="47">
        <f t="shared" ca="1" si="99"/>
        <v>0</v>
      </c>
      <c r="R141" s="47">
        <f t="shared" ca="1" si="99"/>
        <v>0</v>
      </c>
      <c r="S141" s="47">
        <f t="shared" ca="1" si="99"/>
        <v>0</v>
      </c>
      <c r="T141" s="47">
        <f t="shared" ca="1" si="96"/>
        <v>0</v>
      </c>
      <c r="U141" s="47">
        <f t="shared" ca="1" si="97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0</v>
      </c>
      <c r="M142" s="47">
        <f t="shared" ca="1" si="100"/>
        <v>0</v>
      </c>
      <c r="N142" s="47">
        <f t="shared" ca="1" si="100"/>
        <v>0</v>
      </c>
      <c r="O142" s="47">
        <f t="shared" ca="1" si="93"/>
        <v>0</v>
      </c>
      <c r="P142" s="47">
        <f t="shared" ca="1" si="94"/>
        <v>0</v>
      </c>
      <c r="Q142" s="47">
        <f t="shared" ref="Q142:S142" ca="1" si="101">Q143+Q144</f>
        <v>0</v>
      </c>
      <c r="R142" s="47">
        <f t="shared" ca="1" si="101"/>
        <v>0</v>
      </c>
      <c r="S142" s="47">
        <f t="shared" ca="1" si="101"/>
        <v>0</v>
      </c>
      <c r="T142" s="47">
        <f t="shared" ca="1" si="96"/>
        <v>0</v>
      </c>
      <c r="U142" s="47">
        <f t="shared" ca="1" si="97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t="shared" ca="1" si="93"/>
        <v>0</v>
      </c>
      <c r="P144" s="47">
        <f t="shared" ca="1" si="94"/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t="shared" ca="1" si="96"/>
        <v>0</v>
      </c>
      <c r="U144" s="47">
        <f t="shared" ca="1" si="97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0</v>
      </c>
      <c r="R145" s="47">
        <f t="shared" ca="1" si="103"/>
        <v>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t="shared" ca="1" si="96"/>
        <v>0</v>
      </c>
      <c r="U147" s="47">
        <f t="shared" ca="1" si="97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IFERROR(__xludf.DUMMYFUNCTION("IMPORTRANGE(""https://docs.google.com/spreadsheets/d/1eHaY18a8A9IcSdp1K8H6x8fbOy06t2VsZHhMHf-1x7Y/edit?usp=sharing"",""แผน!U79"")"),0)</f>
        <v>0</v>
      </c>
      <c r="J150" s="169">
        <v>0</v>
      </c>
      <c r="K150" s="47">
        <f t="shared" ref="K150:K154" ca="1" si="104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IFERROR(__xludf.DUMMYFUNCTION("IMPORTRANGE(""https://docs.google.com/spreadsheets/d/1eHaY18a8A9IcSdp1K8H6x8fbOy06t2VsZHhMHf-1x7Y/edit?usp=sharing"",""แผน!V79"")"),0)</f>
        <v>0</v>
      </c>
      <c r="J151" s="169">
        <v>0</v>
      </c>
      <c r="K151" s="47">
        <f t="shared" ca="1" si="104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IFERROR(__xludf.DUMMYFUNCTION("IMPORTRANGE(""https://docs.google.com/spreadsheets/d/1eHaY18a8A9IcSdp1K8H6x8fbOy06t2VsZHhMHf-1x7Y/edit?usp=sharing"",""แผน!W79"")"),0)</f>
        <v>0</v>
      </c>
      <c r="J152" s="169">
        <v>0</v>
      </c>
      <c r="K152" s="47">
        <f t="shared" ca="1" si="104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IFERROR(__xludf.DUMMYFUNCTION("IMPORTRANGE(""https://docs.google.com/spreadsheets/d/1eHaY18a8A9IcSdp1K8H6x8fbOy06t2VsZHhMHf-1x7Y/edit?usp=sharing"",""แผน!X79"")"),0)</f>
        <v>0</v>
      </c>
      <c r="J153" s="169">
        <v>0</v>
      </c>
      <c r="K153" s="47">
        <f t="shared" ca="1" si="104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IFERROR(__xludf.DUMMYFUNCTION("IMPORTRANGE(""https://docs.google.com/spreadsheets/d/1eHaY18a8A9IcSdp1K8H6x8fbOy06t2VsZHhMHf-1x7Y/edit?usp=sharing"",""แผน!Y79"")"),0)</f>
        <v>0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I169</f>
        <v>0</v>
      </c>
      <c r="J156" s="128">
        <f t="shared" si="105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0</v>
      </c>
      <c r="M157" s="133">
        <f t="shared" ca="1" si="106"/>
        <v>0</v>
      </c>
      <c r="N157" s="133">
        <f t="shared" ca="1" si="106"/>
        <v>0</v>
      </c>
      <c r="O157" s="133">
        <f t="shared" ref="O157:O165" ca="1" si="107">IF(L157&gt;0,N157*100/L157,0)</f>
        <v>0</v>
      </c>
      <c r="P157" s="133">
        <f t="shared" ref="P157:P165" ca="1" si="108">IF(M157&gt;0,N157*100/M157,0)</f>
        <v>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0</v>
      </c>
      <c r="M159" s="47">
        <f t="shared" ca="1" si="112"/>
        <v>0</v>
      </c>
      <c r="N159" s="47">
        <f t="shared" ca="1" si="112"/>
        <v>0</v>
      </c>
      <c r="O159" s="47">
        <f t="shared" ca="1" si="107"/>
        <v>0</v>
      </c>
      <c r="P159" s="47">
        <f t="shared" ca="1" si="108"/>
        <v>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0</v>
      </c>
      <c r="M160" s="47">
        <f t="shared" ca="1" si="114"/>
        <v>0</v>
      </c>
      <c r="N160" s="47">
        <f t="shared" ca="1" si="114"/>
        <v>0</v>
      </c>
      <c r="O160" s="47">
        <f t="shared" ca="1" si="107"/>
        <v>0</v>
      </c>
      <c r="P160" s="47">
        <f t="shared" ca="1" si="108"/>
        <v>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t="shared" ca="1" si="107"/>
        <v>0</v>
      </c>
      <c r="P162" s="47">
        <f t="shared" ca="1" si="108"/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IFERROR(__xludf.DUMMYFUNCTION("IMPORTRANGE(""https://docs.google.com/spreadsheets/d/1eHaY18a8A9IcSdp1K8H6x8fbOy06t2VsZHhMHf-1x7Y/edit?usp=sharing"",""แผน!Z79"")"),0)</f>
        <v>0</v>
      </c>
      <c r="J167" s="169">
        <v>0</v>
      </c>
      <c r="K167" s="47">
        <f t="shared" ref="K167:K169" ca="1" si="118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IFERROR(__xludf.DUMMYFUNCTION("IMPORTRANGE(""https://docs.google.com/spreadsheets/d/1eHaY18a8A9IcSdp1K8H6x8fbOy06t2VsZHhMHf-1x7Y/edit?usp=sharing"",""แผน!Z79"")"),0)</f>
        <v>0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IFERROR(__xludf.DUMMYFUNCTION("IMPORTRANGE(""https://docs.google.com/spreadsheets/d/1eHaY18a8A9IcSdp1K8H6x8fbOy06t2VsZHhMHf-1x7Y/edit?usp=sharing"",""แผน!Z79"")"),0)</f>
        <v>0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7</v>
      </c>
      <c r="J172" s="222">
        <f t="shared" si="119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19590</v>
      </c>
      <c r="M173" s="133">
        <f t="shared" ca="1" si="120"/>
        <v>41440</v>
      </c>
      <c r="N173" s="133">
        <f t="shared" ca="1" si="120"/>
        <v>41440</v>
      </c>
      <c r="O173" s="133">
        <f t="shared" ref="O173:O181" ca="1" si="121">IF(L173&gt;0,N173*100/L173,0)</f>
        <v>211.53649821337416</v>
      </c>
      <c r="P173" s="133">
        <f t="shared" ref="P173:P181" ca="1" si="122">IF(M173&gt;0,N173*100/M173,0)</f>
        <v>100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19590</v>
      </c>
      <c r="M175" s="47">
        <f t="shared" ca="1" si="126"/>
        <v>41440</v>
      </c>
      <c r="N175" s="47">
        <f t="shared" ca="1" si="126"/>
        <v>41440</v>
      </c>
      <c r="O175" s="47">
        <f t="shared" ca="1" si="121"/>
        <v>211.53649821337416</v>
      </c>
      <c r="P175" s="47">
        <f t="shared" ca="1" si="122"/>
        <v>100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19590</v>
      </c>
      <c r="M176" s="47">
        <f t="shared" ca="1" si="128"/>
        <v>41440</v>
      </c>
      <c r="N176" s="47">
        <f t="shared" ca="1" si="128"/>
        <v>41440</v>
      </c>
      <c r="O176" s="47">
        <f t="shared" ca="1" si="121"/>
        <v>211.53649821337416</v>
      </c>
      <c r="P176" s="47">
        <f t="shared" ca="1" si="122"/>
        <v>100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t="shared" ca="1" si="121"/>
        <v>211.53649821337416</v>
      </c>
      <c r="P178" s="47">
        <f t="shared" ca="1" si="122"/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IFERROR(__xludf.DUMMYFUNCTION("IMPORTRANGE(""https://docs.google.com/spreadsheets/d/1eHaY18a8A9IcSdp1K8H6x8fbOy06t2VsZHhMHf-1x7Y/edit?usp=sharing"",""แผน!AA79"")"),7)</f>
        <v>7</v>
      </c>
      <c r="J183" s="169">
        <v>7</v>
      </c>
      <c r="K183" s="47">
        <f t="shared" ref="K183:K185" ca="1" si="132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0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89900</v>
      </c>
      <c r="M186" s="133">
        <f t="shared" ca="1" si="134"/>
        <v>91900</v>
      </c>
      <c r="N186" s="133">
        <f t="shared" ca="1" si="134"/>
        <v>91900</v>
      </c>
      <c r="O186" s="133">
        <f t="shared" ref="O186:O194" ca="1" si="135">IF(L186&gt;0,N186*100/L186,0)</f>
        <v>102.22469410456063</v>
      </c>
      <c r="P186" s="133">
        <f t="shared" ref="P186:P194" ca="1" si="136">IF(M186&gt;0,N186*100/M186,0)</f>
        <v>100</v>
      </c>
      <c r="Q186" s="133">
        <f t="shared" ref="Q186:S186" ca="1" si="137">Q187+Q188</f>
        <v>0</v>
      </c>
      <c r="R186" s="133">
        <f t="shared" ca="1" si="137"/>
        <v>0</v>
      </c>
      <c r="S186" s="133">
        <f t="shared" ca="1" si="137"/>
        <v>0</v>
      </c>
      <c r="T186" s="133">
        <f t="shared" ref="T186:T194" ca="1" si="138">IF(Q186&gt;0,S186*100/Q186,0)</f>
        <v>0</v>
      </c>
      <c r="U186" s="133">
        <f t="shared" ref="U186:U194" ca="1" si="139">IF(R186&gt;0,S186*100/R186,0)</f>
        <v>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89900</v>
      </c>
      <c r="M188" s="47">
        <f t="shared" ca="1" si="140"/>
        <v>91900</v>
      </c>
      <c r="N188" s="47">
        <f t="shared" ca="1" si="140"/>
        <v>91900</v>
      </c>
      <c r="O188" s="47">
        <f t="shared" ca="1" si="135"/>
        <v>102.22469410456063</v>
      </c>
      <c r="P188" s="47">
        <f t="shared" ca="1" si="136"/>
        <v>100</v>
      </c>
      <c r="Q188" s="47">
        <f t="shared" ca="1" si="141"/>
        <v>0</v>
      </c>
      <c r="R188" s="47">
        <f t="shared" ca="1" si="141"/>
        <v>0</v>
      </c>
      <c r="S188" s="47">
        <f t="shared" ca="1" si="141"/>
        <v>0</v>
      </c>
      <c r="T188" s="47">
        <f t="shared" ca="1" si="138"/>
        <v>0</v>
      </c>
      <c r="U188" s="47">
        <f t="shared" ca="1" si="139"/>
        <v>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89900</v>
      </c>
      <c r="M189" s="47">
        <f t="shared" ca="1" si="142"/>
        <v>91900</v>
      </c>
      <c r="N189" s="47">
        <f t="shared" ca="1" si="142"/>
        <v>91900</v>
      </c>
      <c r="O189" s="47">
        <f t="shared" ca="1" si="135"/>
        <v>102.22469410456063</v>
      </c>
      <c r="P189" s="47">
        <f t="shared" ca="1" si="136"/>
        <v>100</v>
      </c>
      <c r="Q189" s="47">
        <f t="shared" ref="Q189:S189" ca="1" si="143">Q190+Q191</f>
        <v>0</v>
      </c>
      <c r="R189" s="47">
        <f t="shared" ca="1" si="143"/>
        <v>0</v>
      </c>
      <c r="S189" s="47">
        <f t="shared" ca="1" si="143"/>
        <v>0</v>
      </c>
      <c r="T189" s="47">
        <f t="shared" ca="1" si="138"/>
        <v>0</v>
      </c>
      <c r="U189" s="47">
        <f t="shared" ca="1" si="139"/>
        <v>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IFERROR(__xludf.DUMMYFUNCTION("IMPORTRANGE(""https://docs.google.com/spreadsheets/d/1-uDff_7J0KD5mKrp0Vvzr7lt3OU09vwQwhkpOPPYv2Y/edit?usp=sharing"",""งบพรบ!CZ79"")"),91900)</f>
        <v>91900</v>
      </c>
      <c r="N191" s="47">
        <f ca="1">IFERROR(__xludf.DUMMYFUNCTION("IMPORTRANGE(""https://docs.google.com/spreadsheets/d/1-uDff_7J0KD5mKrp0Vvzr7lt3OU09vwQwhkpOPPYv2Y/edit?usp=sharing"",""งบพรบ!DB79"")"),91900)</f>
        <v>91900</v>
      </c>
      <c r="O191" s="47">
        <f t="shared" ca="1" si="135"/>
        <v>102.22469410456063</v>
      </c>
      <c r="P191" s="47">
        <f t="shared" ca="1" si="136"/>
        <v>100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t="shared" ca="1" si="138"/>
        <v>0</v>
      </c>
      <c r="U191" s="47">
        <f t="shared" ca="1" si="139"/>
        <v>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636">
        <v>6000</v>
      </c>
      <c r="O196" s="133">
        <f ca="1">IF(L196&gt;0,N196*100/L196,0)</f>
        <v>100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IFERROR(__xludf.DUMMYFUNCTION("IMPORTRANGE(""https://docs.google.com/spreadsheets/d/1eHaY18a8A9IcSdp1K8H6x8fbOy06t2VsZHhMHf-1x7Y/edit?usp=sharing"",""แผน!AE79"")"),4)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338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338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0</v>
      </c>
      <c r="J202" s="236">
        <f t="shared" si="147"/>
        <v>0</v>
      </c>
      <c r="K202" s="237">
        <f ca="1">IF(I202&gt;0,J202*100/I202,0)</f>
        <v>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hidden="1" x14ac:dyDescent="0.3">
      <c r="A203" s="129"/>
      <c r="B203" s="200"/>
      <c r="C203" s="19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0</v>
      </c>
      <c r="M203" s="46"/>
      <c r="N203" s="133">
        <f>N204+N205+N206+N207</f>
        <v>0</v>
      </c>
      <c r="O203" s="133">
        <f ca="1">IF(L203&gt;0,N203*100/L203,0)</f>
        <v>0</v>
      </c>
      <c r="P203" s="133">
        <f>IF(M203&gt;0,N203*100/M203,0)</f>
        <v>0</v>
      </c>
      <c r="Q203" s="637">
        <f ca="1">Q204+Q205+Q206+Q207</f>
        <v>0</v>
      </c>
      <c r="R203" s="180"/>
      <c r="S203" s="638">
        <f>S204+S205+S206+S207</f>
        <v>0</v>
      </c>
      <c r="T203" s="638">
        <f ca="1">IF(Q203&gt;0,S203*100/Q203,0)</f>
        <v>0</v>
      </c>
      <c r="U203" s="638">
        <f>IF(R203&gt;0,S203*100/R203,0)</f>
        <v>0</v>
      </c>
    </row>
    <row r="204" spans="1:21" ht="18.75" hidden="1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IFERROR(__xludf.DUMMYFUNCTION("IMPORTRANGE(""https://docs.google.com/spreadsheets/d/1eHaY18a8A9IcSdp1K8H6x8fbOy06t2VsZHhMHf-1x7Y/edit?usp=sharing"",""แผน!AG79"")"),0)</f>
        <v>0</v>
      </c>
      <c r="M204" s="46"/>
      <c r="N204" s="639">
        <v>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hidden="1" x14ac:dyDescent="0.25">
      <c r="A205" s="225"/>
      <c r="B205" s="160"/>
      <c r="C205" s="200"/>
      <c r="D205" s="271" t="s">
        <v>87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IFERROR(__xludf.DUMMYFUNCTION("IMPORTRANGE(""https://docs.google.com/spreadsheets/d/1eHaY18a8A9IcSdp1K8H6x8fbOy06t2VsZHhMHf-1x7Y/edit?usp=sharing"",""แผน!AH79"")"),0)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hidden="1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IFERROR(__xludf.DUMMYFUNCTION("IMPORTRANGE(""https://docs.google.com/spreadsheets/d/1eHaY18a8A9IcSdp1K8H6x8fbOy06t2VsZHhMHf-1x7Y/edit?usp=sharing"",""แผน!AI79"")"),0)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IFERROR(__xludf.DUMMYFUNCTION("IMPORTRANGE(""https://docs.google.com/spreadsheets/d/1eHaY18a8A9IcSdp1K8H6x8fbOy06t2VsZHhMHf-1x7Y/edit?usp=sharing"",""แผน!LV79"")"),0)</f>
        <v>0</v>
      </c>
      <c r="R206" s="46"/>
      <c r="S206" s="639">
        <v>0</v>
      </c>
      <c r="T206" s="137"/>
      <c r="U206" s="46"/>
    </row>
    <row r="207" spans="1:21" ht="18.75" hidden="1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IFERROR(__xludf.DUMMYFUNCTION("IMPORTRANGE(""https://docs.google.com/spreadsheets/d/1eHaY18a8A9IcSdp1K8H6x8fbOy06t2VsZHhMHf-1x7Y/edit?usp=sharing"",""แผน!AJ79"")"),0)</f>
        <v>0</v>
      </c>
      <c r="M207" s="46"/>
      <c r="N207" s="639">
        <v>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hidden="1" x14ac:dyDescent="0.3">
      <c r="A208" s="139"/>
      <c r="B208" s="140"/>
      <c r="C208" s="19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hidden="1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IFERROR(__xludf.DUMMYFUNCTION("IMPORTRANGE(""https://docs.google.com/spreadsheets/d/1eHaY18a8A9IcSdp1K8H6x8fbOy06t2VsZHhMHf-1x7Y/edit?usp=sharing"",""แผน!AK79"")"),0)</f>
        <v>0</v>
      </c>
      <c r="J209" s="169">
        <v>0</v>
      </c>
      <c r="K209" s="154">
        <f ca="1">IF(I209&gt;0,J209*100/I209,0)</f>
        <v>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hidden="1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hidden="1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IFERROR(__xludf.DUMMYFUNCTION("IMPORTRANGE(""https://docs.google.com/spreadsheets/d/1eHaY18a8A9IcSdp1K8H6x8fbOy06t2VsZHhMHf-1x7Y/edit?usp=sharing"",""แผน!AK79"")"),0)</f>
        <v>0</v>
      </c>
      <c r="J211" s="169">
        <v>0</v>
      </c>
      <c r="K211" s="154">
        <f t="shared" ref="K211:K213" ca="1" si="148">IF(I211&gt;0,J211*100/I211,0)</f>
        <v>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hidden="1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IFERROR(__xludf.DUMMYFUNCTION("IMPORTRANGE(""https://docs.google.com/spreadsheets/d/1eHaY18a8A9IcSdp1K8H6x8fbOy06t2VsZHhMHf-1x7Y/edit?usp=sharing"",""แผน!AK79"")"),0)</f>
        <v>0</v>
      </c>
      <c r="J212" s="169">
        <v>0</v>
      </c>
      <c r="K212" s="154">
        <f t="shared" ca="1" si="148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0</v>
      </c>
      <c r="J213" s="236">
        <f t="shared" si="149"/>
        <v>0</v>
      </c>
      <c r="K213" s="237">
        <f t="shared" ca="1" si="148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IFERROR(__xludf.DUMMYFUNCTION("IMPORTRANGE(""https://docs.google.com/spreadsheets/d/1eHaY18a8A9IcSdp1K8H6x8fbOy06t2VsZHhMHf-1x7Y/edit?usp=sharing"",""แผน!AM79"")"),0)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IFERROR(__xludf.DUMMYFUNCTION("IMPORTRANGE(""https://docs.google.com/spreadsheets/d/1eHaY18a8A9IcSdp1K8H6x8fbOy06t2VsZHhMHf-1x7Y/edit?usp=sharing"",""แผน!AN79"")"),0)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IFERROR(__xludf.DUMMYFUNCTION("IMPORTRANGE(""https://docs.google.com/spreadsheets/d/1eHaY18a8A9IcSdp1K8H6x8fbOy06t2VsZHhMHf-1x7Y/edit?usp=sharing"",""แผน!AO79"")"),0)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IFERROR(__xludf.DUMMYFUNCTION("IMPORTRANGE(""https://docs.google.com/spreadsheets/d/1eHaY18a8A9IcSdp1K8H6x8fbOy06t2VsZHhMHf-1x7Y/edit?usp=sharing"",""แผน!LY79"")"),0)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IFERROR(__xludf.DUMMYFUNCTION("IMPORTRANGE(""https://docs.google.com/spreadsheets/d/1eHaY18a8A9IcSdp1K8H6x8fbOy06t2VsZHhMHf-1x7Y/edit?usp=sharing"",""แผน!JX79"")"),0)</f>
        <v>0</v>
      </c>
      <c r="J219" s="169">
        <v>0</v>
      </c>
      <c r="K219" s="47">
        <f t="shared" ref="K219:K221" ca="1" si="150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IFERROR(__xludf.DUMMYFUNCTION("IMPORTRANGE(""https://docs.google.com/spreadsheets/d/1eHaY18a8A9IcSdp1K8H6x8fbOy06t2VsZHhMHf-1x7Y/edit?usp=sharing"",""แผน!JY79"")"),0)</f>
        <v>0</v>
      </c>
      <c r="J220" s="169">
        <v>0</v>
      </c>
      <c r="K220" s="47">
        <f t="shared" ca="1" si="150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10000</v>
      </c>
      <c r="J221" s="236">
        <f t="shared" si="151"/>
        <v>10000</v>
      </c>
      <c r="K221" s="237">
        <f t="shared" ca="1" si="150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IFERROR(__xludf.DUMMYFUNCTION("IMPORTRANGE(""https://docs.google.com/spreadsheets/d/1eHaY18a8A9IcSdp1K8H6x8fbOy06t2VsZHhMHf-1x7Y/edit?usp=sharing"",""แผน!AR79"")"),2500)</f>
        <v>2500</v>
      </c>
      <c r="M223" s="46"/>
      <c r="N223" s="639">
        <v>2500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IFERROR(__xludf.DUMMYFUNCTION("IMPORTRANGE(""https://docs.google.com/spreadsheets/d/1eHaY18a8A9IcSdp1K8H6x8fbOy06t2VsZHhMHf-1x7Y/edit?usp=sharing"",""แผน!AS79"")"),2000)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IFERROR(__xludf.DUMMYFUNCTION("IMPORTRANGE(""https://docs.google.com/spreadsheets/d/1eHaY18a8A9IcSdp1K8H6x8fbOy06t2VsZHhMHf-1x7Y/edit?usp=sharing"",""แผน!AT79"")"),0)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IFERROR(__xludf.DUMMYFUNCTION("IMPORTRANGE(""https://docs.google.com/spreadsheets/d/1eHaY18a8A9IcSdp1K8H6x8fbOy06t2VsZHhMHf-1x7Y/edit?usp=sharing"",""แผน!AV79"")"),10000)</f>
        <v>10000</v>
      </c>
      <c r="J228" s="169">
        <v>10000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IFERROR(__xludf.DUMMYFUNCTION("IMPORTRANGE(""https://docs.google.com/spreadsheets/d/1eHaY18a8A9IcSdp1K8H6x8fbOy06t2VsZHhMHf-1x7Y/edit?usp=sharing"",""แผน!AV79"")"),10000)</f>
        <v>10000</v>
      </c>
      <c r="J229" s="169">
        <v>10000</v>
      </c>
      <c r="K229" s="154">
        <f t="shared" ca="1" si="152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IFERROR(__xludf.DUMMYFUNCTION("IMPORTRANGE(""https://docs.google.com/spreadsheets/d/1eHaY18a8A9IcSdp1K8H6x8fbOy06t2VsZHhMHf-1x7Y/edit?usp=sharing"",""แผน!AU79"")"),0)</f>
        <v>0</v>
      </c>
      <c r="J230" s="169">
        <v>0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3">I242+I253</f>
        <v>0</v>
      </c>
      <c r="J231" s="646">
        <f t="shared" si="153"/>
        <v>0</v>
      </c>
      <c r="K231" s="64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6">I249+I260</f>
        <v>0</v>
      </c>
      <c r="J238" s="517">
        <f t="shared" si="156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7">I251+I262</f>
        <v>0</v>
      </c>
      <c r="J240" s="517">
        <f t="shared" si="157"/>
        <v>0</v>
      </c>
      <c r="K240" s="49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7"/>
        <v>0</v>
      </c>
      <c r="J241" s="517">
        <f t="shared" si="157"/>
        <v>0</v>
      </c>
      <c r="K241" s="49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IFERROR(__xludf.DUMMYFUNCTION("IMPORTRANGE(""https://docs.google.com/spreadsheets/d/1eHaY18a8A9IcSdp1K8H6x8fbOy06t2VsZHhMHf-1x7Y/edit?usp=sharing"",""แผน!AX79"")"),0)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IFERROR(__xludf.DUMMYFUNCTION("IMPORTRANGE(""https://docs.google.com/spreadsheets/d/1eHaY18a8A9IcSdp1K8H6x8fbOy06t2VsZHhMHf-1x7Y/edit?usp=sharing"",""แผน!AY79"")"),0)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IFERROR(__xludf.DUMMYFUNCTION("IMPORTRANGE(""https://docs.google.com/spreadsheets/d/1eHaY18a8A9IcSdp1K8H6x8fbOy06t2VsZHhMHf-1x7Y/edit?usp=sharing"",""แผน!AZ79"")"),0)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IFERROR(__xludf.DUMMYFUNCTION("IMPORTRANGE(""https://docs.google.com/spreadsheets/d/1eHaY18a8A9IcSdp1K8H6x8fbOy06t2VsZHhMHf-1x7Y/edit?usp=sharing"",""แผน!BA79"")"),0)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IFERROR(__xludf.DUMMYFUNCTION("IMPORTRANGE(""https://docs.google.com/spreadsheets/d/1eHaY18a8A9IcSdp1K8H6x8fbOy06t2VsZHhMHf-1x7Y/edit?usp=sharing"",""แผน!BG79"")"),0)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IFERROR(__xludf.DUMMYFUNCTION("IMPORTRANGE(""https://docs.google.com/spreadsheets/d/1eHaY18a8A9IcSdp1K8H6x8fbOy06t2VsZHhMHf-1x7Y/edit?usp=sharing"",""แผน!BB79"")"),0)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IFERROR(__xludf.DUMMYFUNCTION("IMPORTRANGE(""https://docs.google.com/spreadsheets/d/1eHaY18a8A9IcSdp1K8H6x8fbOy06t2VsZHhMHf-1x7Y/edit?usp=sharing"",""แผน!BC79"")"),0)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IFERROR(__xludf.DUMMYFUNCTION("IMPORTRANGE(""https://docs.google.com/spreadsheets/d/1eHaY18a8A9IcSdp1K8H6x8fbOy06t2VsZHhMHf-1x7Y/edit?usp=sharing"",""แผน!BD79"")"),0)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IFERROR(__xludf.DUMMYFUNCTION("IMPORTRANGE(""https://docs.google.com/spreadsheets/d/1eHaY18a8A9IcSdp1K8H6x8fbOy06t2VsZHhMHf-1x7Y/edit?usp=sharing"",""แผน!BE79"")"),0)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IFERROR(__xludf.DUMMYFUNCTION("IMPORTRANGE(""https://docs.google.com/spreadsheets/d/1eHaY18a8A9IcSdp1K8H6x8fbOy06t2VsZHhMHf-1x7Y/edit?usp=sharing"",""แผน!BH79"")"),0)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20</v>
      </c>
      <c r="J265" s="686">
        <f t="shared" si="163"/>
        <v>20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4">L267+L268</f>
        <v>5000</v>
      </c>
      <c r="M266" s="441">
        <f t="shared" ca="1" si="164"/>
        <v>25700</v>
      </c>
      <c r="N266" s="441">
        <f t="shared" ca="1" si="164"/>
        <v>25700</v>
      </c>
      <c r="O266" s="441">
        <f t="shared" ref="O266:O274" ca="1" si="165">IF(L266&gt;0,N266*100/L266,0)</f>
        <v>514</v>
      </c>
      <c r="P266" s="441">
        <f t="shared" ref="P266:P274" ca="1" si="166">IF(M266&gt;0,N266*100/M266,0)</f>
        <v>100</v>
      </c>
      <c r="Q266" s="441">
        <f t="shared" ref="Q266:S266" ca="1" si="167">Q267+Q268</f>
        <v>47880</v>
      </c>
      <c r="R266" s="441">
        <f t="shared" ca="1" si="167"/>
        <v>47880</v>
      </c>
      <c r="S266" s="441">
        <f t="shared" ca="1" si="167"/>
        <v>47880</v>
      </c>
      <c r="T266" s="441">
        <f t="shared" ref="T266:T274" ca="1" si="168">IF(Q266&gt;0,S266*100/Q266,0)</f>
        <v>100</v>
      </c>
      <c r="U266" s="441">
        <f t="shared" ref="U266:U274" ca="1" si="169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70"/>
        <v>5000</v>
      </c>
      <c r="M268" s="352">
        <f t="shared" ca="1" si="170"/>
        <v>25700</v>
      </c>
      <c r="N268" s="352">
        <f t="shared" ca="1" si="170"/>
        <v>25700</v>
      </c>
      <c r="O268" s="352">
        <f t="shared" ca="1" si="165"/>
        <v>514</v>
      </c>
      <c r="P268" s="352">
        <f t="shared" ca="1" si="166"/>
        <v>100</v>
      </c>
      <c r="Q268" s="352">
        <f t="shared" ca="1" si="171"/>
        <v>47880</v>
      </c>
      <c r="R268" s="352">
        <f t="shared" ca="1" si="171"/>
        <v>47880</v>
      </c>
      <c r="S268" s="352">
        <f t="shared" ca="1" si="171"/>
        <v>47880</v>
      </c>
      <c r="T268" s="352">
        <f t="shared" ca="1" si="168"/>
        <v>100</v>
      </c>
      <c r="U268" s="352">
        <f t="shared" ca="1" si="169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2">L270+L271</f>
        <v>5000</v>
      </c>
      <c r="M269" s="352">
        <f t="shared" ca="1" si="172"/>
        <v>25700</v>
      </c>
      <c r="N269" s="352">
        <f t="shared" ca="1" si="172"/>
        <v>25700</v>
      </c>
      <c r="O269" s="352">
        <f t="shared" ca="1" si="165"/>
        <v>514</v>
      </c>
      <c r="P269" s="352">
        <f t="shared" ca="1" si="166"/>
        <v>100</v>
      </c>
      <c r="Q269" s="352">
        <f t="shared" ref="Q269:S269" ca="1" si="173">Q270+Q271</f>
        <v>47880</v>
      </c>
      <c r="R269" s="352">
        <f t="shared" ca="1" si="173"/>
        <v>47880</v>
      </c>
      <c r="S269" s="352">
        <f t="shared" ca="1" si="173"/>
        <v>47880</v>
      </c>
      <c r="T269" s="352">
        <f t="shared" ca="1" si="168"/>
        <v>100</v>
      </c>
      <c r="U269" s="352">
        <f t="shared" ca="1" si="169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IFERROR(__xludf.DUMMYFUNCTION("IMPORTRANGE(""https://docs.google.com/spreadsheets/d/1-uDff_7J0KD5mKrp0Vvzr7lt3OU09vwQwhkpOPPYv2Y/edit?usp=sharing"",""งบพรบ!DE79"")"),5000)</f>
        <v>5000</v>
      </c>
      <c r="M271" s="352">
        <f ca="1">IFERROR(__xludf.DUMMYFUNCTION("IMPORTRANGE(""https://docs.google.com/spreadsheets/d/1-uDff_7J0KD5mKrp0Vvzr7lt3OU09vwQwhkpOPPYv2Y/edit?usp=sharing"",""งบพรบ!DJ79"")"),25700)</f>
        <v>25700</v>
      </c>
      <c r="N271" s="352">
        <f ca="1">IFERROR(__xludf.DUMMYFUNCTION("IMPORTRANGE(""https://docs.google.com/spreadsheets/d/1-uDff_7J0KD5mKrp0Vvzr7lt3OU09vwQwhkpOPPYv2Y/edit?usp=sharing"",""งบพรบ!DL79"")"),25700)</f>
        <v>25700</v>
      </c>
      <c r="O271" s="352">
        <f t="shared" ca="1" si="165"/>
        <v>514</v>
      </c>
      <c r="P271" s="352">
        <f t="shared" ca="1" si="166"/>
        <v>100</v>
      </c>
      <c r="Q271" s="352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352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352">
        <f ca="1">IFERROR(__xludf.DUMMYFUNCTION("IMPORTRANGE(""https://docs.google.com/spreadsheets/d/1ItG2mGa2ceCfYo0BwxsXqNm01IGEUdYcSSLTEv9YCik/edit?usp=sharing"",""เบิกจ่ายกองทุน!AR79"")"),47880)</f>
        <v>47880</v>
      </c>
      <c r="T271" s="352">
        <f t="shared" ca="1" si="168"/>
        <v>100</v>
      </c>
      <c r="U271" s="352">
        <f t="shared" ca="1" si="169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4">L273+L274</f>
        <v>0</v>
      </c>
      <c r="M272" s="352">
        <f t="shared" ca="1" si="174"/>
        <v>0</v>
      </c>
      <c r="N272" s="352">
        <f t="shared" ca="1" si="174"/>
        <v>0</v>
      </c>
      <c r="O272" s="352">
        <f t="shared" ca="1" si="165"/>
        <v>0</v>
      </c>
      <c r="P272" s="352">
        <f t="shared" ca="1" si="166"/>
        <v>0</v>
      </c>
      <c r="Q272" s="352">
        <f t="shared" ref="Q272:S272" si="175">Q273+Q274</f>
        <v>0</v>
      </c>
      <c r="R272" s="352">
        <f t="shared" si="175"/>
        <v>0</v>
      </c>
      <c r="S272" s="352">
        <f t="shared" si="175"/>
        <v>0</v>
      </c>
      <c r="T272" s="352">
        <f t="shared" si="168"/>
        <v>0</v>
      </c>
      <c r="U272" s="352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IFERROR(__xludf.DUMMYFUNCTION("IMPORTRANGE(""https://docs.google.com/spreadsheets/d/1-uDff_7J0KD5mKrp0Vvzr7lt3OU09vwQwhkpOPPYv2Y/edit?usp=sharing"",""งบพรบ!DH79"")"),0)</f>
        <v>0</v>
      </c>
      <c r="M274" s="352">
        <f ca="1">IFERROR(__xludf.DUMMYFUNCTION("IMPORTRANGE(""https://docs.google.com/spreadsheets/d/1-uDff_7J0KD5mKrp0Vvzr7lt3OU09vwQwhkpOPPYv2Y/edit?usp=sharing"",""งบพรบ!DK79"")"),0)</f>
        <v>0</v>
      </c>
      <c r="N274" s="352">
        <f ca="1">IFERROR(__xludf.DUMMYFUNCTION("IMPORTRANGE(""https://docs.google.com/spreadsheets/d/1-uDff_7J0KD5mKrp0Vvzr7lt3OU09vwQwhkpOPPYv2Y/edit?usp=sharing"",""งบพรบ!DM79"")"),0)</f>
        <v>0</v>
      </c>
      <c r="O274" s="352">
        <f t="shared" ca="1" si="165"/>
        <v>0</v>
      </c>
      <c r="P274" s="352">
        <f t="shared" ca="1" si="166"/>
        <v>0</v>
      </c>
      <c r="Q274" s="352">
        <v>0</v>
      </c>
      <c r="R274" s="352">
        <v>0</v>
      </c>
      <c r="S274" s="352">
        <v>0</v>
      </c>
      <c r="T274" s="352">
        <f t="shared" si="168"/>
        <v>0</v>
      </c>
      <c r="U274" s="352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IFERROR(__xludf.DUMMYFUNCTION("IMPORTRANGE(""https://docs.google.com/spreadsheets/d/1eHaY18a8A9IcSdp1K8H6x8fbOy06t2VsZHhMHf-1x7Y/edit?usp=sharing"",""แผน!EC79"")"),20)</f>
        <v>20</v>
      </c>
      <c r="J276" s="178">
        <v>20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IFERROR(__xludf.DUMMYFUNCTION("IMPORTRANGE(""https://docs.google.com/spreadsheets/d/1eHaY18a8A9IcSdp1K8H6x8fbOy06t2VsZHhMHf-1x7Y/edit?usp=sharing"",""แผน!EE79"")"),0)</f>
        <v>0</v>
      </c>
      <c r="J292" s="169">
        <v>0</v>
      </c>
      <c r="K292" s="154">
        <f t="shared" ref="K292:K293" ca="1" si="191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IFERROR(__xludf.DUMMYFUNCTION("IMPORTRANGE(""https://docs.google.com/spreadsheets/d/1eHaY18a8A9IcSdp1K8H6x8fbOy06t2VsZHhMHf-1x7Y/edit?usp=sharing"",""แผน!ED79"")"),0)</f>
        <v>0</v>
      </c>
      <c r="J293" s="371">
        <f>J296</f>
        <v>0</v>
      </c>
      <c r="K293" s="149">
        <f t="shared" ca="1" si="191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IFERROR(__xludf.DUMMYFUNCTION("IMPORTRANGE(""https://docs.google.com/spreadsheets/d/1eHaY18a8A9IcSdp1K8H6x8fbOy06t2VsZHhMHf-1x7Y/edit?usp=sharing"",""แผน!ED79"")"),0)</f>
        <v>0</v>
      </c>
      <c r="J295" s="169">
        <v>0</v>
      </c>
      <c r="K295" s="154">
        <f t="shared" ref="K295:K296" ca="1" si="192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IFERROR(__xludf.DUMMYFUNCTION("IMPORTRANGE(""https://docs.google.com/spreadsheets/d/1eHaY18a8A9IcSdp1K8H6x8fbOy06t2VsZHhMHf-1x7Y/edit?usp=sharing"",""แผน!ED79"")"),0)</f>
        <v>0</v>
      </c>
      <c r="J296" s="169">
        <v>0</v>
      </c>
      <c r="K296" s="154">
        <f t="shared" ca="1" si="192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hidden="1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hidden="1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0</v>
      </c>
      <c r="J302" s="321">
        <f t="shared" si="193"/>
        <v>0</v>
      </c>
      <c r="K302" s="322">
        <f ca="1">IF(I302&gt;0,J302*100/I302,0)</f>
        <v>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hidden="1" x14ac:dyDescent="0.3">
      <c r="A303" s="129"/>
      <c r="B303" s="200"/>
      <c r="C303" s="19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0</v>
      </c>
      <c r="M303" s="133">
        <f t="shared" ca="1" si="194"/>
        <v>0</v>
      </c>
      <c r="N303" s="133">
        <f t="shared" ca="1" si="194"/>
        <v>0</v>
      </c>
      <c r="O303" s="133">
        <f t="shared" ref="O303:O311" ca="1" si="195">IF(L303&gt;0,N303*100/L303,0)</f>
        <v>0</v>
      </c>
      <c r="P303" s="133">
        <f t="shared" ref="P303:P311" ca="1" si="196">IF(M303&gt;0,N303*100/M303,0)</f>
        <v>0</v>
      </c>
      <c r="Q303" s="133">
        <f t="shared" ref="Q303:S303" ca="1" si="197">Q304+Q305</f>
        <v>0</v>
      </c>
      <c r="R303" s="133">
        <f t="shared" ca="1" si="197"/>
        <v>0</v>
      </c>
      <c r="S303" s="133">
        <f t="shared" ca="1" si="197"/>
        <v>0</v>
      </c>
      <c r="T303" s="133">
        <f t="shared" ref="T303:T311" ca="1" si="198">IF(Q303&gt;0,S303*100/Q303,0)</f>
        <v>0</v>
      </c>
      <c r="U303" s="133">
        <f t="shared" ref="U303:U311" ca="1" si="199">IF(R303&gt;0,S303*100/R303,0)</f>
        <v>0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0</v>
      </c>
      <c r="M305" s="47">
        <f t="shared" ca="1" si="200"/>
        <v>0</v>
      </c>
      <c r="N305" s="47">
        <f t="shared" ca="1" si="200"/>
        <v>0</v>
      </c>
      <c r="O305" s="47">
        <f t="shared" ca="1" si="195"/>
        <v>0</v>
      </c>
      <c r="P305" s="47">
        <f t="shared" ca="1" si="196"/>
        <v>0</v>
      </c>
      <c r="Q305" s="47">
        <f t="shared" ca="1" si="201"/>
        <v>0</v>
      </c>
      <c r="R305" s="47">
        <f t="shared" ca="1" si="201"/>
        <v>0</v>
      </c>
      <c r="S305" s="47">
        <f t="shared" ca="1" si="201"/>
        <v>0</v>
      </c>
      <c r="T305" s="47">
        <f t="shared" ca="1" si="198"/>
        <v>0</v>
      </c>
      <c r="U305" s="47">
        <f t="shared" ca="1" si="199"/>
        <v>0</v>
      </c>
    </row>
    <row r="306" spans="1:21" ht="18.75" hidden="1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0</v>
      </c>
      <c r="M306" s="47">
        <f t="shared" ca="1" si="202"/>
        <v>0</v>
      </c>
      <c r="N306" s="47">
        <f t="shared" ca="1" si="202"/>
        <v>0</v>
      </c>
      <c r="O306" s="47">
        <f t="shared" ca="1" si="195"/>
        <v>0</v>
      </c>
      <c r="P306" s="47">
        <f t="shared" ca="1" si="196"/>
        <v>0</v>
      </c>
      <c r="Q306" s="47">
        <f t="shared" ref="Q306:S306" ca="1" si="203">Q307+Q308</f>
        <v>0</v>
      </c>
      <c r="R306" s="47">
        <f t="shared" ca="1" si="203"/>
        <v>0</v>
      </c>
      <c r="S306" s="47">
        <f t="shared" ca="1" si="203"/>
        <v>0</v>
      </c>
      <c r="T306" s="47">
        <f t="shared" ca="1" si="198"/>
        <v>0</v>
      </c>
      <c r="U306" s="47">
        <f t="shared" ca="1" si="199"/>
        <v>0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t="shared" ca="1" si="195"/>
        <v>0</v>
      </c>
      <c r="P308" s="47">
        <f t="shared" ca="1" si="196"/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t="shared" ca="1" si="198"/>
        <v>0</v>
      </c>
      <c r="U308" s="47">
        <f t="shared" ca="1" si="199"/>
        <v>0</v>
      </c>
    </row>
    <row r="309" spans="1:21" ht="18.75" hidden="1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hidden="1" x14ac:dyDescent="0.3">
      <c r="A312" s="139"/>
      <c r="B312" s="140"/>
      <c r="C312" s="19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IFERROR(__xludf.DUMMYFUNCTION("IMPORTRANGE(""https://docs.google.com/spreadsheets/d/1eHaY18a8A9IcSdp1K8H6x8fbOy06t2VsZHhMHf-1x7Y/edit?usp=sharing"",""แผน!EF79"")"),0)</f>
        <v>0</v>
      </c>
      <c r="J314" s="169">
        <v>0</v>
      </c>
      <c r="K314" s="47">
        <f ca="1">IF(I314&gt;0,J314*100/I314,0)</f>
        <v>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0</v>
      </c>
      <c r="J319" s="321">
        <f t="shared" si="206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0</v>
      </c>
      <c r="M320" s="133">
        <f t="shared" ca="1" si="207"/>
        <v>0</v>
      </c>
      <c r="N320" s="133">
        <f t="shared" ca="1" si="207"/>
        <v>0</v>
      </c>
      <c r="O320" s="133">
        <f t="shared" ref="O320:O328" ca="1" si="208">IF(L320&gt;0,N320*100/L320,0)</f>
        <v>0</v>
      </c>
      <c r="P320" s="133">
        <f t="shared" ref="P320:P328" ca="1" si="209">IF(M320&gt;0,N320*100/M320,0)</f>
        <v>0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0</v>
      </c>
      <c r="M322" s="47">
        <f t="shared" ca="1" si="213"/>
        <v>0</v>
      </c>
      <c r="N322" s="47">
        <f t="shared" ca="1" si="213"/>
        <v>0</v>
      </c>
      <c r="O322" s="47">
        <f t="shared" ca="1" si="208"/>
        <v>0</v>
      </c>
      <c r="P322" s="47">
        <f t="shared" ca="1" si="209"/>
        <v>0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0</v>
      </c>
      <c r="M323" s="47">
        <f t="shared" ca="1" si="215"/>
        <v>0</v>
      </c>
      <c r="N323" s="47">
        <f t="shared" ca="1" si="215"/>
        <v>0</v>
      </c>
      <c r="O323" s="47">
        <f t="shared" ca="1" si="208"/>
        <v>0</v>
      </c>
      <c r="P323" s="47">
        <f t="shared" ca="1" si="209"/>
        <v>0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t="shared" ca="1" si="208"/>
        <v>0</v>
      </c>
      <c r="P325" s="47">
        <f t="shared" ca="1" si="209"/>
        <v>0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IFERROR(__xludf.DUMMYFUNCTION("IMPORTRANGE(""https://docs.google.com/spreadsheets/d/1eHaY18a8A9IcSdp1K8H6x8fbOy06t2VsZHhMHf-1x7Y/edit?usp=sharing"",""แผน!EJ79"")"),0)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IFERROR(__xludf.DUMMYFUNCTION("IMPORTRANGE(""https://docs.google.com/spreadsheets/d/1eHaY18a8A9IcSdp1K8H6x8fbOy06t2VsZHhMHf-1x7Y/edit?usp=sharing"",""แผน!EK79"")"),300)</f>
        <v>300</v>
      </c>
      <c r="J332" s="718">
        <f ca="1">J344+J347+J348+J349+J353+J354</f>
        <v>1193</v>
      </c>
      <c r="K332" s="719">
        <f ca="1">IF(I332&gt;0,J332*100/I332,0)</f>
        <v>397.66666666666669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276500</v>
      </c>
      <c r="M333" s="133">
        <f t="shared" ca="1" si="219"/>
        <v>276500</v>
      </c>
      <c r="N333" s="133">
        <f t="shared" ca="1" si="219"/>
        <v>256000</v>
      </c>
      <c r="O333" s="133">
        <f t="shared" ref="O333:O341" ca="1" si="220">IF(L333&gt;0,N333*100/L333,0)</f>
        <v>92.585895117540687</v>
      </c>
      <c r="P333" s="133">
        <f t="shared" ref="P333:P341" ca="1" si="221">IF(M333&gt;0,N333*100/M333,0)</f>
        <v>92.585895117540687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276500</v>
      </c>
      <c r="M335" s="47">
        <f t="shared" ca="1" si="225"/>
        <v>276500</v>
      </c>
      <c r="N335" s="47">
        <f t="shared" ca="1" si="225"/>
        <v>256000</v>
      </c>
      <c r="O335" s="47">
        <f t="shared" ca="1" si="220"/>
        <v>92.585895117540687</v>
      </c>
      <c r="P335" s="47">
        <f t="shared" ca="1" si="221"/>
        <v>92.585895117540687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276500</v>
      </c>
      <c r="M336" s="47">
        <f t="shared" ca="1" si="227"/>
        <v>276500</v>
      </c>
      <c r="N336" s="47">
        <f t="shared" ca="1" si="227"/>
        <v>256000</v>
      </c>
      <c r="O336" s="47">
        <f t="shared" ca="1" si="220"/>
        <v>92.585895117540687</v>
      </c>
      <c r="P336" s="47">
        <f t="shared" ca="1" si="221"/>
        <v>92.585895117540687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IFERROR(__xludf.DUMMYFUNCTION("IMPORTRANGE(""https://docs.google.com/spreadsheets/d/1-uDff_7J0KD5mKrp0Vvzr7lt3OU09vwQwhkpOPPYv2Y/edit?usp=sharing"",""งบพรบ!EX79"")"),276500)</f>
        <v>276500</v>
      </c>
      <c r="N338" s="47">
        <f ca="1">IFERROR(__xludf.DUMMYFUNCTION("IMPORTRANGE(""https://docs.google.com/spreadsheets/d/1-uDff_7J0KD5mKrp0Vvzr7lt3OU09vwQwhkpOPPYv2Y/edit?usp=sharing"",""งบพรบ!EZ79"")"),256000)</f>
        <v>256000</v>
      </c>
      <c r="O338" s="47">
        <f t="shared" ca="1" si="220"/>
        <v>92.585895117540687</v>
      </c>
      <c r="P338" s="47">
        <f t="shared" ca="1" si="221"/>
        <v>92.585895117540687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511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IFERROR(__xludf.DUMMYFUNCTION("IMPORTRANGE(""https://docs.google.com/spreadsheets/d/1awYsYK3VOup2i3Pq_Yjnu8DRu_mYwSBnCR2QPthd0rU/edit?usp=sharing"",""ศูนย์ยกเว้นโฉนด!D79"")"),365)</f>
        <v>365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IFERROR(__xludf.DUMMYFUNCTION("IMPORTRANGE(""https://docs.google.com/spreadsheets/d/1eHaY18a8A9IcSdp1K8H6x8fbOy06t2VsZHhMHf-1x7Y/edit?usp=sharing"",""แผน!EL79"")"),2)</f>
        <v>2</v>
      </c>
      <c r="J346" s="372">
        <f ca="1">IFERROR(__xludf.DUMMYFUNCTION("IMPORTRANGE(""https://docs.google.com/spreadsheets/d/1awYsYK3VOup2i3Pq_Yjnu8DRu_mYwSBnCR2QPthd0rU/edit?usp=sharing"",""ศูนย์รวม!E79"")"),2)</f>
        <v>2</v>
      </c>
      <c r="K346" s="47">
        <f ca="1">IF(I346&gt;0,J346*100/I346,0)</f>
        <v>100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IFERROR(__xludf.DUMMYFUNCTION("IMPORTRANGE(""https://docs.google.com/spreadsheets/d/1awYsYK3VOup2i3Pq_Yjnu8DRu_mYwSBnCR2QPthd0rU/edit?usp=sharing"",""ศูนย์ยกเว้นโฉนด!F79"")"),137)</f>
        <v>137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IFERROR(__xludf.DUMMYFUNCTION("IMPORTRANGE(""https://docs.google.com/spreadsheets/d/1awYsYK3VOup2i3Pq_Yjnu8DRu_mYwSBnCR2QPthd0rU/edit?usp=sharing"",""ศูนย์ยกเว้นโฉนด!G79"")"),9)</f>
        <v>9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682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IFERROR(__xludf.DUMMYFUNCTION("IMPORTRANGE(""https://docs.google.com/spreadsheets/d/1awYsYK3VOup2i3Pq_Yjnu8DRu_mYwSBnCR2QPthd0rU/edit?usp=sharing"",""โฉนดM3!G79"")"),0)</f>
        <v>0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IFERROR(__xludf.DUMMYFUNCTION("IMPORTRANGE(""https://docs.google.com/spreadsheets/d/1awYsYK3VOup2i3Pq_Yjnu8DRu_mYwSBnCR2QPthd0rU/edit?usp=sharing"",""โฉนดM3!H79"")"),140)</f>
        <v>140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225"/>
      <c r="B354" s="200"/>
      <c r="C354" s="160"/>
      <c r="D354" s="329"/>
      <c r="E354" s="303" t="s">
        <v>151</v>
      </c>
      <c r="F354" s="200"/>
      <c r="G354" s="43"/>
      <c r="H354" s="134" t="s">
        <v>35</v>
      </c>
      <c r="I354" s="45"/>
      <c r="J354" s="897">
        <f ca="1">IFERROR(__xludf.DUMMYFUNCTION("IMPORTRANGE(""https://docs.google.com/spreadsheets/d/1awYsYK3VOup2i3Pq_Yjnu8DRu_mYwSBnCR2QPthd0rU/edit?usp=sharing"",""โฉนดM3!I79"")"),542)</f>
        <v>542</v>
      </c>
      <c r="K354" s="46"/>
      <c r="L354" s="591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396190</v>
      </c>
      <c r="M356" s="133">
        <f t="shared" ca="1" si="231"/>
        <v>478365</v>
      </c>
      <c r="N356" s="133">
        <f t="shared" ca="1" si="231"/>
        <v>439775.81</v>
      </c>
      <c r="O356" s="133">
        <f t="shared" ref="O356:O364" ca="1" si="232">IF(L356&gt;0,N356*100/L356,0)</f>
        <v>111.00123930437417</v>
      </c>
      <c r="P356" s="133">
        <f t="shared" ref="P356:P364" ca="1" si="233">IF(M356&gt;0,N356*100/M356,0)</f>
        <v>91.933107564307591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396190</v>
      </c>
      <c r="M358" s="47">
        <f t="shared" ca="1" si="237"/>
        <v>478365</v>
      </c>
      <c r="N358" s="47">
        <f t="shared" ca="1" si="237"/>
        <v>439775.81</v>
      </c>
      <c r="O358" s="47">
        <f t="shared" ca="1" si="232"/>
        <v>111.00123930437417</v>
      </c>
      <c r="P358" s="47">
        <f t="shared" ca="1" si="233"/>
        <v>91.933107564307591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396190</v>
      </c>
      <c r="M359" s="47">
        <f t="shared" ca="1" si="239"/>
        <v>478365</v>
      </c>
      <c r="N359" s="47">
        <f t="shared" ca="1" si="239"/>
        <v>439775.81</v>
      </c>
      <c r="O359" s="47">
        <f t="shared" ca="1" si="232"/>
        <v>111.00123930437417</v>
      </c>
      <c r="P359" s="47">
        <f t="shared" ca="1" si="233"/>
        <v>91.933107564307591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IFERROR(__xludf.DUMMYFUNCTION("IMPORTRANGE(""https://docs.google.com/spreadsheets/d/1-uDff_7J0KD5mKrp0Vvzr7lt3OU09vwQwhkpOPPYv2Y/edit?usp=sharing"",""งบพรบ!FH79"")"),478365)</f>
        <v>478365</v>
      </c>
      <c r="N361" s="47">
        <f ca="1">IFERROR(__xludf.DUMMYFUNCTION("IMPORTRANGE(""https://docs.google.com/spreadsheets/d/1-uDff_7J0KD5mKrp0Vvzr7lt3OU09vwQwhkpOPPYv2Y/edit?usp=sharing"",""งบพรบ!FJ79"")"),439775.81)</f>
        <v>439775.81</v>
      </c>
      <c r="O361" s="47">
        <f t="shared" ca="1" si="232"/>
        <v>111.00123930437417</v>
      </c>
      <c r="P361" s="47">
        <f t="shared" ca="1" si="233"/>
        <v>91.933107564307591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36</v>
      </c>
      <c r="J365" s="236">
        <f t="shared" ca="1" si="243"/>
        <v>55</v>
      </c>
      <c r="K365" s="237">
        <f ca="1">IF(I365&gt;0,J365*100/I365,0)</f>
        <v>152.77777777777777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IFERROR(__xludf.DUMMYFUNCTION("IMPORTRANGE(""https://docs.google.com/spreadsheets/d/1tdoBKaGub7dwA3U6UFTqxio9LNnvDCQjHKmttSEBsFQ/edit?usp=sharing"",""จัดที่ดิน!AB79"")"),31)</f>
        <v>31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IFERROR(__xludf.DUMMYFUNCTION("IMPORTRANGE(""https://docs.google.com/spreadsheets/d/1eHaY18a8A9IcSdp1K8H6x8fbOy06t2VsZHhMHf-1x7Y/edit?usp=sharing"",""แผน!EW79"")"),70)</f>
        <v>70</v>
      </c>
      <c r="J368" s="729">
        <f ca="1">IFERROR(__xludf.DUMMYFUNCTION("IMPORTRANGE(""https://docs.google.com/spreadsheets/d/1tdoBKaGub7dwA3U6UFTqxio9LNnvDCQjHKmttSEBsFQ/edit?usp=sharing"",""จัดที่ดิน!AC79"")"),82.79)</f>
        <v>82.79</v>
      </c>
      <c r="K368" s="47">
        <f t="shared" ca="1" si="244"/>
        <v>118.27142857142857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IFERROR(__xludf.DUMMYFUNCTION("IMPORTRANGE(""https://docs.google.com/spreadsheets/d/1eHaY18a8A9IcSdp1K8H6x8fbOy06t2VsZHhMHf-1x7Y/edit?usp=sharing"",""แผน!EX79"")"),36)</f>
        <v>36</v>
      </c>
      <c r="J369" s="372">
        <f ca="1">IFERROR(__xludf.DUMMYFUNCTION("IMPORTRANGE(""https://docs.google.com/spreadsheets/d/1tdoBKaGub7dwA3U6UFTqxio9LNnvDCQjHKmttSEBsFQ/edit?usp=sharing"",""จัดที่ดิน!AD79"")"),55)</f>
        <v>55</v>
      </c>
      <c r="K369" s="47">
        <f t="shared" ca="1" si="244"/>
        <v>152.77777777777777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IFERROR(__xludf.DUMMYFUNCTION("IMPORTRANGE(""https://docs.google.com/spreadsheets/d/1tdoBKaGub7dwA3U6UFTqxio9LNnvDCQjHKmttSEBsFQ/edit?usp=sharing"",""จัดที่ดิน!AE79"")"),223.57)</f>
        <v>223.57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IFERROR(__xludf.DUMMYFUNCTION("IMPORTRANGE(""https://docs.google.com/spreadsheets/d/1eHaY18a8A9IcSdp1K8H6x8fbOy06t2VsZHhMHf-1x7Y/edit?usp=sharing"",""แผน!EY79"")"),36)</f>
        <v>36</v>
      </c>
      <c r="J371" s="372">
        <f ca="1">IFERROR(__xludf.DUMMYFUNCTION("IMPORTRANGE(""https://docs.google.com/spreadsheets/d/1tdoBKaGub7dwA3U6UFTqxio9LNnvDCQjHKmttSEBsFQ/edit?usp=sharing"",""จัดที่ดิน!AF79"")"),55)</f>
        <v>55</v>
      </c>
      <c r="K371" s="47">
        <f t="shared" ca="1" si="244"/>
        <v>152.77777777777777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IFERROR(__xludf.DUMMYFUNCTION("IMPORTRANGE(""https://docs.google.com/spreadsheets/d/1tdoBKaGub7dwA3U6UFTqxio9LNnvDCQjHKmttSEBsFQ/edit?usp=sharing"",""จัดที่ดิน!AG79"")"),223.57)</f>
        <v>223.57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650</v>
      </c>
      <c r="J374" s="737">
        <f t="shared" ca="1" si="245"/>
        <v>664</v>
      </c>
      <c r="K374" s="738">
        <f ca="1">IF(I374&gt;0,J374*100/I374,0)</f>
        <v>102.15384615384616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0</v>
      </c>
      <c r="M375" s="133">
        <f t="shared" ca="1" si="246"/>
        <v>0</v>
      </c>
      <c r="N375" s="133">
        <f t="shared" ca="1" si="246"/>
        <v>0</v>
      </c>
      <c r="O375" s="133">
        <f t="shared" ref="O375:O383" ca="1" si="247">IF(L375&gt;0,N375*100/L375,0)</f>
        <v>0</v>
      </c>
      <c r="P375" s="133">
        <f t="shared" ref="P375:P383" ca="1" si="248">IF(M375&gt;0,N375*100/M375,0)</f>
        <v>0</v>
      </c>
      <c r="Q375" s="133">
        <f t="shared" ref="Q375:S375" ca="1" si="249">Q376+Q377</f>
        <v>62500</v>
      </c>
      <c r="R375" s="133">
        <f t="shared" ca="1" si="249"/>
        <v>40625</v>
      </c>
      <c r="S375" s="133">
        <f t="shared" ca="1" si="249"/>
        <v>40625</v>
      </c>
      <c r="T375" s="133">
        <f t="shared" ref="T375:T383" ca="1" si="250">IF(Q375&gt;0,S375*100/Q375,0)</f>
        <v>65</v>
      </c>
      <c r="U375" s="133">
        <f t="shared" ref="U375:U383" ca="1" si="251">IF(R375&gt;0,S375*100/R375,0)</f>
        <v>100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0</v>
      </c>
      <c r="M377" s="47">
        <f t="shared" ca="1" si="252"/>
        <v>0</v>
      </c>
      <c r="N377" s="47">
        <f t="shared" ca="1" si="252"/>
        <v>0</v>
      </c>
      <c r="O377" s="47">
        <f t="shared" ca="1" si="247"/>
        <v>0</v>
      </c>
      <c r="P377" s="47">
        <f t="shared" ca="1" si="248"/>
        <v>0</v>
      </c>
      <c r="Q377" s="47">
        <f t="shared" ca="1" si="253"/>
        <v>62500</v>
      </c>
      <c r="R377" s="47">
        <f t="shared" ca="1" si="253"/>
        <v>40625</v>
      </c>
      <c r="S377" s="47">
        <f t="shared" ca="1" si="253"/>
        <v>40625</v>
      </c>
      <c r="T377" s="47">
        <f t="shared" ca="1" si="250"/>
        <v>65</v>
      </c>
      <c r="U377" s="47">
        <f t="shared" ca="1" si="251"/>
        <v>100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0</v>
      </c>
      <c r="M378" s="47">
        <f t="shared" ca="1" si="254"/>
        <v>0</v>
      </c>
      <c r="N378" s="47">
        <f t="shared" ca="1" si="254"/>
        <v>0</v>
      </c>
      <c r="O378" s="47">
        <f t="shared" ca="1" si="247"/>
        <v>0</v>
      </c>
      <c r="P378" s="47">
        <f t="shared" ca="1" si="248"/>
        <v>0</v>
      </c>
      <c r="Q378" s="47">
        <f t="shared" ref="Q378:S378" ca="1" si="255">Q379+Q380</f>
        <v>62500</v>
      </c>
      <c r="R378" s="47">
        <f t="shared" ca="1" si="255"/>
        <v>40625</v>
      </c>
      <c r="S378" s="47">
        <f t="shared" ca="1" si="255"/>
        <v>40625</v>
      </c>
      <c r="T378" s="47">
        <f t="shared" ca="1" si="250"/>
        <v>65</v>
      </c>
      <c r="U378" s="47">
        <f t="shared" ca="1" si="251"/>
        <v>100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t="shared" ca="1" si="247"/>
        <v>0</v>
      </c>
      <c r="P380" s="47">
        <f t="shared" ca="1" si="248"/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IFERROR(__xludf.DUMMYFUNCTION("IMPORTRANGE(""https://docs.google.com/spreadsheets/d/1ItG2mGa2ceCfYo0BwxsXqNm01IGEUdYcSSLTEv9YCik/edit?usp=sharing"",""เบิกจ่ายกองทุน!BX79"")"),40625)</f>
        <v>40625</v>
      </c>
      <c r="S380" s="47">
        <f ca="1">IFERROR(__xludf.DUMMYFUNCTION("IMPORTRANGE(""https://docs.google.com/spreadsheets/d/1ItG2mGa2ceCfYo0BwxsXqNm01IGEUdYcSSLTEv9YCik/edit?usp=sharing"",""เบิกจ่ายกองทุน!BY79"")"),40625)</f>
        <v>40625</v>
      </c>
      <c r="T380" s="47">
        <f t="shared" ca="1" si="250"/>
        <v>65</v>
      </c>
      <c r="U380" s="47">
        <f t="shared" ca="1" si="251"/>
        <v>100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IFERROR(__xludf.DUMMYFUNCTION("IMPORTRANGE(""https://docs.google.com/spreadsheets/d/1w5rwWK1o49a35cNtocGL0gxDwhFSTZUQu90BiH9_zqM/edit?usp=sharing"",""RTK!H79"")"),147)</f>
        <v>147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IFERROR(__xludf.DUMMYFUNCTION("IMPORTRANGE(""https://docs.google.com/spreadsheets/d/1w5rwWK1o49a35cNtocGL0gxDwhFSTZUQu90BiH9_zqM/edit?usp=sharing"",""RTK!G79"")"),650)</f>
        <v>650</v>
      </c>
      <c r="J386" s="372">
        <f ca="1">IFERROR(__xludf.DUMMYFUNCTION("IMPORTRANGE(""https://docs.google.com/spreadsheets/d/1w5rwWK1o49a35cNtocGL0gxDwhFSTZUQu90BiH9_zqM/edit?usp=sharing"",""RTK!I79"")"),664)</f>
        <v>664</v>
      </c>
      <c r="K386" s="47">
        <f t="shared" ca="1" si="258"/>
        <v>102.15384615384616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IFERROR(__xludf.DUMMYFUNCTION("IMPORTRANGE(""https://docs.google.com/spreadsheets/d/1w5rwWK1o49a35cNtocGL0gxDwhFSTZUQu90BiH9_zqM/edit?usp=sharing"",""RTK!L79"")"),0)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IFERROR(__xludf.DUMMYFUNCTION("IMPORTRANGE(""https://docs.google.com/spreadsheets/d/1w5rwWK1o49a35cNtocGL0gxDwhFSTZUQu90BiH9_zqM/edit?usp=sharing"",""RTK!K79"")"),0)</f>
        <v>0</v>
      </c>
      <c r="J388" s="351">
        <f ca="1">IFERROR(__xludf.DUMMYFUNCTION("IMPORTRANGE(""https://docs.google.com/spreadsheets/d/1w5rwWK1o49a35cNtocGL0gxDwhFSTZUQu90BiH9_zqM/edit?usp=sharing"",""RTK!M79"")"),0)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3577</v>
      </c>
      <c r="J412" s="321">
        <f t="shared" si="272"/>
        <v>3577</v>
      </c>
      <c r="K412" s="322">
        <f ca="1">IF(I412&gt;0,J412*100/I412,0)</f>
        <v>100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192020</v>
      </c>
      <c r="M413" s="133">
        <f t="shared" ca="1" si="273"/>
        <v>222020</v>
      </c>
      <c r="N413" s="133">
        <f t="shared" ca="1" si="273"/>
        <v>166447.04000000001</v>
      </c>
      <c r="O413" s="133">
        <f t="shared" ref="O413:O421" ca="1" si="274">IF(L413&gt;0,N413*100/L413,0)</f>
        <v>86.682137277366934</v>
      </c>
      <c r="P413" s="133">
        <f t="shared" ref="P413:P421" ca="1" si="275">IF(M413&gt;0,N413*100/M413,0)</f>
        <v>74.96939014503198</v>
      </c>
      <c r="Q413" s="133">
        <f t="shared" ref="Q413:S413" ca="1" si="276">Q414+Q415</f>
        <v>26400</v>
      </c>
      <c r="R413" s="133">
        <f t="shared" ca="1" si="276"/>
        <v>26400</v>
      </c>
      <c r="S413" s="133">
        <f t="shared" ca="1" si="276"/>
        <v>26400</v>
      </c>
      <c r="T413" s="133">
        <f t="shared" ref="T413:T421" ca="1" si="277">IF(Q413&gt;0,S413*100/Q413,0)</f>
        <v>100</v>
      </c>
      <c r="U413" s="133">
        <f t="shared" ref="U413:U421" ca="1" si="278">IF(R413&gt;0,S413*100/R413,0)</f>
        <v>100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192020</v>
      </c>
      <c r="M415" s="47">
        <f t="shared" ca="1" si="279"/>
        <v>222020</v>
      </c>
      <c r="N415" s="47">
        <f t="shared" ca="1" si="279"/>
        <v>166447.04000000001</v>
      </c>
      <c r="O415" s="47">
        <f t="shared" ca="1" si="274"/>
        <v>86.682137277366934</v>
      </c>
      <c r="P415" s="47">
        <f t="shared" ca="1" si="275"/>
        <v>74.96939014503198</v>
      </c>
      <c r="Q415" s="47">
        <f t="shared" ca="1" si="280"/>
        <v>26400</v>
      </c>
      <c r="R415" s="47">
        <f t="shared" ca="1" si="280"/>
        <v>26400</v>
      </c>
      <c r="S415" s="47">
        <f t="shared" ca="1" si="280"/>
        <v>26400</v>
      </c>
      <c r="T415" s="47">
        <f t="shared" ca="1" si="277"/>
        <v>100</v>
      </c>
      <c r="U415" s="47">
        <f t="shared" ca="1" si="278"/>
        <v>100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192020</v>
      </c>
      <c r="M416" s="47">
        <f t="shared" ca="1" si="281"/>
        <v>222020</v>
      </c>
      <c r="N416" s="47">
        <f t="shared" ca="1" si="281"/>
        <v>166447.04000000001</v>
      </c>
      <c r="O416" s="47">
        <f t="shared" ca="1" si="274"/>
        <v>86.682137277366934</v>
      </c>
      <c r="P416" s="47">
        <f t="shared" ca="1" si="275"/>
        <v>74.96939014503198</v>
      </c>
      <c r="Q416" s="47">
        <f t="shared" ref="Q416:S416" ca="1" si="282">Q417+Q418</f>
        <v>26400</v>
      </c>
      <c r="R416" s="47">
        <f t="shared" ca="1" si="282"/>
        <v>26400</v>
      </c>
      <c r="S416" s="47">
        <f t="shared" ca="1" si="282"/>
        <v>26400</v>
      </c>
      <c r="T416" s="47">
        <f t="shared" ca="1" si="277"/>
        <v>100</v>
      </c>
      <c r="U416" s="47">
        <f t="shared" ca="1" si="278"/>
        <v>100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IFERROR(__xludf.DUMMYFUNCTION("IMPORTRANGE(""https://docs.google.com/spreadsheets/d/1-uDff_7J0KD5mKrp0Vvzr7lt3OU09vwQwhkpOPPYv2Y/edit?usp=sharing"",""งบพรบ!IT79"")"),222020)</f>
        <v>222020</v>
      </c>
      <c r="N418" s="47">
        <f ca="1">IFERROR(__xludf.DUMMYFUNCTION("IMPORTRANGE(""https://docs.google.com/spreadsheets/d/1-uDff_7J0KD5mKrp0Vvzr7lt3OU09vwQwhkpOPPYv2Y/edit?usp=sharing"",""งบพรบ!IV79"")"),166447.04)</f>
        <v>166447.04000000001</v>
      </c>
      <c r="O418" s="47">
        <f t="shared" ca="1" si="274"/>
        <v>86.682137277366934</v>
      </c>
      <c r="P418" s="47">
        <f t="shared" ca="1" si="275"/>
        <v>74.96939014503198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IFERROR(__xludf.DUMMYFUNCTION("IMPORTRANGE(""https://docs.google.com/spreadsheets/d/1ItG2mGa2ceCfYo0BwxsXqNm01IGEUdYcSSLTEv9YCik/edit?usp=sharing"",""เบิกจ่ายกองทุน!CB79"")"),26400)</f>
        <v>26400</v>
      </c>
      <c r="T418" s="47">
        <f t="shared" ca="1" si="277"/>
        <v>100</v>
      </c>
      <c r="U418" s="47">
        <f t="shared" ca="1" si="278"/>
        <v>100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ca="1">I440</f>
        <v>3577</v>
      </c>
      <c r="J423" s="749">
        <f>J432</f>
        <v>3577</v>
      </c>
      <c r="K423" s="489">
        <f t="shared" ref="K423:K425" ca="1" si="285">IF(I423&gt;0,J423*100/I423,0)</f>
        <v>100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IFERROR(__xludf.DUMMYFUNCTION("IMPORTRANGE(""https://docs.google.com/spreadsheets/d/1eHaY18a8A9IcSdp1K8H6x8fbOy06t2VsZHhMHf-1x7Y/edit?usp=sharing"",""แผน!HJ79"")"),3577)</f>
        <v>3577</v>
      </c>
      <c r="J424" s="751">
        <f t="shared" ref="J424:J425" si="286">J426+J428+J430</f>
        <v>3577</v>
      </c>
      <c r="K424" s="133">
        <f t="shared" ca="1" si="285"/>
        <v>100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IFERROR(__xludf.DUMMYFUNCTION("IMPORTRANGE(""https://docs.google.com/spreadsheets/d/1eHaY18a8A9IcSdp1K8H6x8fbOy06t2VsZHhMHf-1x7Y/edit?usp=sharing"",""แผน!HK79"")"),825)</f>
        <v>825</v>
      </c>
      <c r="J425" s="751">
        <f t="shared" si="286"/>
        <v>825</v>
      </c>
      <c r="K425" s="133">
        <f t="shared" ca="1" si="285"/>
        <v>100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3431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790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34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6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112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29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IFERROR(__xludf.DUMMYFUNCTION("IMPORTRANGE(""https://docs.google.com/spreadsheets/d/1eHaY18a8A9IcSdp1K8H6x8fbOy06t2VsZHhMHf-1x7Y/edit?usp=sharing"",""แผน!HJ79"")"),3577)</f>
        <v>3577</v>
      </c>
      <c r="J432" s="751">
        <f t="shared" ref="J432:J433" si="287">J434+J436+J438</f>
        <v>3577</v>
      </c>
      <c r="K432" s="133">
        <f t="shared" ref="K432:K433" ca="1" si="288">IF(I432&gt;0,J432*100/I432,0)</f>
        <v>100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IFERROR(__xludf.DUMMYFUNCTION("IMPORTRANGE(""https://docs.google.com/spreadsheets/d/1eHaY18a8A9IcSdp1K8H6x8fbOy06t2VsZHhMHf-1x7Y/edit?usp=sharing"",""แผน!HK79"")"),825)</f>
        <v>825</v>
      </c>
      <c r="J433" s="751">
        <f t="shared" si="287"/>
        <v>825</v>
      </c>
      <c r="K433" s="133">
        <f t="shared" ca="1" si="288"/>
        <v>100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3431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790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34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6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112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29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IFERROR(__xludf.DUMMYFUNCTION("IMPORTRANGE(""https://docs.google.com/spreadsheets/d/1eHaY18a8A9IcSdp1K8H6x8fbOy06t2VsZHhMHf-1x7Y/edit?usp=sharing"",""แผน!HJ79"")"),3577)</f>
        <v>3577</v>
      </c>
      <c r="J440" s="751">
        <f t="shared" ref="J440:J441" si="289">J442+J444+J446+J452+J454</f>
        <v>3577</v>
      </c>
      <c r="K440" s="133">
        <f t="shared" ref="K440:K441" ca="1" si="290">IF(I440&gt;0,J440*100/I440,0)</f>
        <v>100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IFERROR(__xludf.DUMMYFUNCTION("IMPORTRANGE(""https://docs.google.com/spreadsheets/d/1eHaY18a8A9IcSdp1K8H6x8fbOy06t2VsZHhMHf-1x7Y/edit?usp=sharing"",""แผน!HK79"")"),825)</f>
        <v>825</v>
      </c>
      <c r="J441" s="751">
        <f t="shared" si="289"/>
        <v>825</v>
      </c>
      <c r="K441" s="133">
        <f t="shared" ca="1" si="290"/>
        <v>100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3431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790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34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6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112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29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112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29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2">I457</f>
        <v>0</v>
      </c>
      <c r="J456" s="754">
        <f t="shared" si="292"/>
        <v>0</v>
      </c>
      <c r="K456" s="489">
        <f t="shared" ref="K456:K458" ca="1" si="293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hidden="1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IFERROR(__xludf.DUMMYFUNCTION("IMPORTRANGE(""https://docs.google.com/spreadsheets/d/1eHaY18a8A9IcSdp1K8H6x8fbOy06t2VsZHhMHf-1x7Y/edit?usp=sharing"",""แผน!HL79"")"),0)</f>
        <v>0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IFERROR(__xludf.DUMMYFUNCTION("IMPORTRANGE(""https://docs.google.com/spreadsheets/d/1eHaY18a8A9IcSdp1K8H6x8fbOy06t2VsZHhMHf-1x7Y/edit?usp=sharing"",""แผน!HM79"")"),0)</f>
        <v>0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7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8">J478+J480</f>
        <v>0</v>
      </c>
      <c r="K476" s="764">
        <f t="shared" si="297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8"/>
        <v>0</v>
      </c>
      <c r="K477" s="764">
        <f t="shared" si="297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299">J480</f>
        <v>0</v>
      </c>
      <c r="J484" s="763">
        <f t="shared" ref="J484:J485" si="300">J486+J488+J490</f>
        <v>0</v>
      </c>
      <c r="K484" s="764">
        <f t="shared" ref="K484:K485" si="301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299"/>
        <v>0</v>
      </c>
      <c r="J485" s="763">
        <f t="shared" si="300"/>
        <v>0</v>
      </c>
      <c r="K485" s="764">
        <f t="shared" si="301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0</v>
      </c>
      <c r="J492" s="321">
        <f t="shared" ca="1" si="302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3">L494+L495</f>
        <v>0</v>
      </c>
      <c r="M493" s="133">
        <f t="shared" ca="1" si="303"/>
        <v>0</v>
      </c>
      <c r="N493" s="133">
        <f t="shared" ca="1" si="303"/>
        <v>0</v>
      </c>
      <c r="O493" s="133">
        <f t="shared" ref="O493:O501" ca="1" si="304">IF(L493&gt;0,N493*100/L493,0)</f>
        <v>0</v>
      </c>
      <c r="P493" s="133">
        <f t="shared" ref="P493:P501" ca="1" si="305">IF(M493&gt;0,N493*100/M493,0)</f>
        <v>0</v>
      </c>
      <c r="Q493" s="133">
        <f t="shared" ref="Q493:S493" ca="1" si="306">Q494+Q495</f>
        <v>0</v>
      </c>
      <c r="R493" s="133">
        <f t="shared" ca="1" si="306"/>
        <v>0</v>
      </c>
      <c r="S493" s="133">
        <f t="shared" ca="1" si="306"/>
        <v>0</v>
      </c>
      <c r="T493" s="133">
        <f t="shared" ref="T493:T501" ca="1" si="307">IF(Q493&gt;0,S493*100/Q493,0)</f>
        <v>0</v>
      </c>
      <c r="U493" s="133">
        <f t="shared" ref="U493:U501" ca="1" si="308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49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0</v>
      </c>
      <c r="M495" s="47">
        <f t="shared" ca="1" si="309"/>
        <v>0</v>
      </c>
      <c r="N495" s="47">
        <f t="shared" ca="1" si="309"/>
        <v>0</v>
      </c>
      <c r="O495" s="47">
        <f t="shared" ca="1" si="304"/>
        <v>0</v>
      </c>
      <c r="P495" s="47">
        <f t="shared" ca="1" si="305"/>
        <v>0</v>
      </c>
      <c r="Q495" s="47">
        <f t="shared" ca="1" si="310"/>
        <v>0</v>
      </c>
      <c r="R495" s="47">
        <f t="shared" ca="1" si="310"/>
        <v>0</v>
      </c>
      <c r="S495" s="47">
        <f t="shared" ca="1" si="310"/>
        <v>0</v>
      </c>
      <c r="T495" s="47">
        <f t="shared" ca="1" si="307"/>
        <v>0</v>
      </c>
      <c r="U495" s="47">
        <f t="shared" ca="1" si="308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0</v>
      </c>
      <c r="M496" s="47">
        <f t="shared" ca="1" si="311"/>
        <v>0</v>
      </c>
      <c r="N496" s="47">
        <f t="shared" ca="1" si="311"/>
        <v>0</v>
      </c>
      <c r="O496" s="47">
        <f t="shared" ca="1" si="304"/>
        <v>0</v>
      </c>
      <c r="P496" s="47">
        <f t="shared" ca="1" si="305"/>
        <v>0</v>
      </c>
      <c r="Q496" s="47">
        <f t="shared" ref="Q496:S496" ca="1" si="312">Q497+Q498</f>
        <v>0</v>
      </c>
      <c r="R496" s="47">
        <f t="shared" ca="1" si="312"/>
        <v>0</v>
      </c>
      <c r="S496" s="47">
        <f t="shared" ca="1" si="312"/>
        <v>0</v>
      </c>
      <c r="T496" s="47">
        <f t="shared" ca="1" si="307"/>
        <v>0</v>
      </c>
      <c r="U496" s="47">
        <f t="shared" ca="1" si="308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49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t="shared" ca="1" si="304"/>
        <v>0</v>
      </c>
      <c r="P498" s="47">
        <f t="shared" ca="1" si="305"/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t="shared" ca="1" si="307"/>
        <v>0</v>
      </c>
      <c r="U498" s="47">
        <f t="shared" ca="1" si="308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47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49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t="shared" ca="1" si="304"/>
        <v>0</v>
      </c>
      <c r="P501" s="47">
        <f t="shared" ca="1" si="305"/>
        <v>0</v>
      </c>
      <c r="Q501" s="47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IFERROR(__xludf.DUMMYFUNCTION("IMPORTRANGE(""https://docs.google.com/spreadsheets/d/1eHaY18a8A9IcSdp1K8H6x8fbOy06t2VsZHhMHf-1x7Y/edit?usp=sharing"",""แผน!GX79"")"),0)</f>
        <v>0</v>
      </c>
      <c r="J503" s="371">
        <f ca="1">IF(AND(J504=I504,J505=I505,J506=I506,J507=I507),I503,0)</f>
        <v>0</v>
      </c>
      <c r="K503" s="133">
        <f t="shared" ref="K503:K509" ca="1" si="315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IFERROR(__xludf.DUMMYFUNCTION("IMPORTRANGE(""https://docs.google.com/spreadsheets/d/1eHaY18a8A9IcSdp1K8H6x8fbOy06t2VsZHhMHf-1x7Y/edit?usp=sharing"",""แผน!GY79"")"),0)</f>
        <v>0</v>
      </c>
      <c r="J504" s="169">
        <v>0</v>
      </c>
      <c r="K504" s="47">
        <f t="shared" ca="1" si="315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IFERROR(__xludf.DUMMYFUNCTION("IMPORTRANGE(""https://docs.google.com/spreadsheets/d/1eHaY18a8A9IcSdp1K8H6x8fbOy06t2VsZHhMHf-1x7Y/edit?usp=sharing"",""แผน!GZ79"")"),0)</f>
        <v>0</v>
      </c>
      <c r="J505" s="169">
        <v>0</v>
      </c>
      <c r="K505" s="47">
        <f t="shared" ca="1" si="315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IFERROR(__xludf.DUMMYFUNCTION("IMPORTRANGE(""https://docs.google.com/spreadsheets/d/1eHaY18a8A9IcSdp1K8H6x8fbOy06t2VsZHhMHf-1x7Y/edit?usp=sharing"",""แผน!HA79"")"),0)</f>
        <v>0</v>
      </c>
      <c r="J506" s="169">
        <v>0</v>
      </c>
      <c r="K506" s="47">
        <f t="shared" ca="1" si="315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IFERROR(__xludf.DUMMYFUNCTION("IMPORTRANGE(""https://docs.google.com/spreadsheets/d/1eHaY18a8A9IcSdp1K8H6x8fbOy06t2VsZHhMHf-1x7Y/edit?usp=sharing"",""แผน!HB79"")"),0)</f>
        <v>0</v>
      </c>
      <c r="J507" s="169">
        <v>0</v>
      </c>
      <c r="K507" s="47">
        <f t="shared" ca="1" si="315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IFERROR(__xludf.DUMMYFUNCTION("IMPORTRANGE(""https://docs.google.com/spreadsheets/d/1eHaY18a8A9IcSdp1K8H6x8fbOy06t2VsZHhMHf-1x7Y/edit?usp=sharing"",""แผน!HC79"")"),0)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6">I524</f>
        <v>0</v>
      </c>
      <c r="J512" s="855">
        <f t="shared" si="316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7">L514+L515</f>
        <v>0</v>
      </c>
      <c r="M513" s="133">
        <f t="shared" ca="1" si="317"/>
        <v>0</v>
      </c>
      <c r="N513" s="133">
        <f t="shared" ca="1" si="317"/>
        <v>0</v>
      </c>
      <c r="O513" s="133">
        <f t="shared" ref="O513:O521" ca="1" si="318">IF(L513&gt;0,N513*100/L513,0)</f>
        <v>0</v>
      </c>
      <c r="P513" s="133">
        <f t="shared" ref="P513:P521" ca="1" si="319">IF(M513&gt;0,N513*100/M513,0)</f>
        <v>0</v>
      </c>
      <c r="Q513" s="133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49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3"/>
        <v>0</v>
      </c>
      <c r="M515" s="47">
        <f t="shared" ca="1" si="323"/>
        <v>0</v>
      </c>
      <c r="N515" s="47">
        <f t="shared" ca="1" si="323"/>
        <v>0</v>
      </c>
      <c r="O515" s="47">
        <f t="shared" ca="1" si="318"/>
        <v>0</v>
      </c>
      <c r="P515" s="47">
        <f t="shared" ca="1" si="319"/>
        <v>0</v>
      </c>
      <c r="Q515" s="47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47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49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t="shared" ca="1" si="318"/>
        <v>0</v>
      </c>
      <c r="P518" s="47">
        <f t="shared" ca="1" si="319"/>
        <v>0</v>
      </c>
      <c r="Q518" s="47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7">L520+L521</f>
        <v>0</v>
      </c>
      <c r="M519" s="47">
        <f t="shared" ca="1" si="327"/>
        <v>0</v>
      </c>
      <c r="N519" s="47">
        <f t="shared" ca="1" si="327"/>
        <v>0</v>
      </c>
      <c r="O519" s="47">
        <f t="shared" ca="1" si="318"/>
        <v>0</v>
      </c>
      <c r="P519" s="47">
        <f t="shared" ca="1" si="319"/>
        <v>0</v>
      </c>
      <c r="Q519" s="47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49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t="shared" ca="1" si="318"/>
        <v>0</v>
      </c>
      <c r="P521" s="47">
        <f t="shared" ca="1" si="319"/>
        <v>0</v>
      </c>
      <c r="Q521" s="47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9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9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0">I545</f>
        <v>0</v>
      </c>
      <c r="J533" s="818">
        <f t="shared" si="330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133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49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47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47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49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t="shared" ca="1" si="332"/>
        <v>0</v>
      </c>
      <c r="P539" s="47">
        <f t="shared" ca="1" si="333"/>
        <v>0</v>
      </c>
      <c r="Q539" s="47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47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49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t="shared" ca="1" si="332"/>
        <v>0</v>
      </c>
      <c r="P542" s="47">
        <f t="shared" ca="1" si="333"/>
        <v>0</v>
      </c>
      <c r="Q542" s="47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133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49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47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47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49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t="shared" ca="1" si="345"/>
        <v>0</v>
      </c>
      <c r="P560" s="47">
        <f t="shared" ca="1" si="346"/>
        <v>0</v>
      </c>
      <c r="Q560" s="47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47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49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t="shared" ca="1" si="345"/>
        <v>0</v>
      </c>
      <c r="P563" s="47">
        <f t="shared" ca="1" si="346"/>
        <v>0</v>
      </c>
      <c r="Q563" s="47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6">I587</f>
        <v>0</v>
      </c>
      <c r="J575" s="818">
        <f t="shared" si="356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0</v>
      </c>
      <c r="M576" s="133">
        <f t="shared" ca="1" si="357"/>
        <v>0</v>
      </c>
      <c r="N576" s="133">
        <f t="shared" ca="1" si="357"/>
        <v>0</v>
      </c>
      <c r="O576" s="133">
        <f t="shared" ref="O576:O584" ca="1" si="358">IF(L576&gt;0,N576*100/L576,0)</f>
        <v>0</v>
      </c>
      <c r="P576" s="133">
        <f t="shared" ref="P576:P584" ca="1" si="359">IF(M576&gt;0,N576*100/M576,0)</f>
        <v>0</v>
      </c>
      <c r="Q576" s="133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49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0</v>
      </c>
      <c r="M578" s="47">
        <f t="shared" ca="1" si="363"/>
        <v>0</v>
      </c>
      <c r="N578" s="47">
        <f t="shared" ca="1" si="363"/>
        <v>0</v>
      </c>
      <c r="O578" s="47">
        <f t="shared" ca="1" si="358"/>
        <v>0</v>
      </c>
      <c r="P578" s="47">
        <f t="shared" ca="1" si="359"/>
        <v>0</v>
      </c>
      <c r="Q578" s="47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0</v>
      </c>
      <c r="M579" s="47">
        <f t="shared" ca="1" si="365"/>
        <v>0</v>
      </c>
      <c r="N579" s="47">
        <f t="shared" ca="1" si="365"/>
        <v>0</v>
      </c>
      <c r="O579" s="47">
        <f t="shared" ca="1" si="358"/>
        <v>0</v>
      </c>
      <c r="P579" s="47">
        <f t="shared" ca="1" si="359"/>
        <v>0</v>
      </c>
      <c r="Q579" s="47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49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t="shared" ca="1" si="358"/>
        <v>0</v>
      </c>
      <c r="P581" s="47">
        <f t="shared" ca="1" si="359"/>
        <v>0</v>
      </c>
      <c r="Q581" s="47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47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49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t="shared" ca="1" si="358"/>
        <v>0</v>
      </c>
      <c r="P584" s="47">
        <f t="shared" ca="1" si="359"/>
        <v>0</v>
      </c>
      <c r="Q584" s="47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x14ac:dyDescent="0.3">
      <c r="A596" s="416" t="s">
        <v>220</v>
      </c>
      <c r="B596" s="417"/>
      <c r="C596" s="418"/>
      <c r="D596" s="417"/>
      <c r="E596" s="417"/>
      <c r="F596" s="417"/>
      <c r="G596" s="417"/>
      <c r="H596" s="419"/>
      <c r="I596" s="420"/>
      <c r="J596" s="420"/>
      <c r="K596" s="421"/>
      <c r="L596" s="422"/>
      <c r="M596" s="422"/>
      <c r="N596" s="422"/>
      <c r="O596" s="422"/>
      <c r="P596" s="422"/>
      <c r="Q596" s="422"/>
      <c r="R596" s="422"/>
      <c r="S596" s="422"/>
      <c r="T596" s="422"/>
      <c r="U596" s="422"/>
    </row>
    <row r="597" spans="1:21" ht="19.5" x14ac:dyDescent="0.3">
      <c r="A597" s="423"/>
      <c r="B597" s="424" t="s">
        <v>221</v>
      </c>
      <c r="C597" s="425"/>
      <c r="D597" s="426"/>
      <c r="E597" s="427"/>
      <c r="F597" s="427"/>
      <c r="G597" s="427"/>
      <c r="H597" s="428" t="s">
        <v>99</v>
      </c>
      <c r="I597" s="429"/>
      <c r="J597" s="430"/>
      <c r="K597" s="431"/>
      <c r="L597" s="895"/>
      <c r="M597" s="431"/>
      <c r="N597" s="431"/>
      <c r="O597" s="431"/>
      <c r="P597" s="431"/>
      <c r="Q597" s="431"/>
      <c r="R597" s="431"/>
      <c r="S597" s="431"/>
      <c r="T597" s="431"/>
      <c r="U597" s="431"/>
    </row>
    <row r="598" spans="1:21" ht="19.5" x14ac:dyDescent="0.3">
      <c r="A598" s="432"/>
      <c r="B598" s="433" t="s">
        <v>222</v>
      </c>
      <c r="C598" s="426"/>
      <c r="D598" s="427"/>
      <c r="E598" s="427"/>
      <c r="F598" s="427"/>
      <c r="G598" s="434"/>
      <c r="H598" s="435" t="s">
        <v>35</v>
      </c>
      <c r="I598" s="430"/>
      <c r="J598" s="430"/>
      <c r="K598" s="431"/>
      <c r="L598" s="895"/>
      <c r="M598" s="431"/>
      <c r="N598" s="431"/>
      <c r="O598" s="431"/>
      <c r="P598" s="431"/>
      <c r="Q598" s="431"/>
      <c r="R598" s="431"/>
      <c r="S598" s="431"/>
      <c r="T598" s="431"/>
      <c r="U598" s="431"/>
    </row>
    <row r="599" spans="1:21" ht="19.5" x14ac:dyDescent="0.3">
      <c r="A599" s="436"/>
      <c r="B599" s="347"/>
      <c r="C599" s="409" t="s">
        <v>18</v>
      </c>
      <c r="D599" s="551" t="s">
        <v>19</v>
      </c>
      <c r="E599" s="552"/>
      <c r="F599" s="552"/>
      <c r="G599" s="553"/>
      <c r="H599" s="439" t="s">
        <v>14</v>
      </c>
      <c r="I599" s="440"/>
      <c r="J599" s="440"/>
      <c r="K599" s="353"/>
      <c r="L599" s="691">
        <f t="shared" ref="L599:N599" ca="1" si="369">L600+L601</f>
        <v>16160</v>
      </c>
      <c r="M599" s="441">
        <f t="shared" ca="1" si="369"/>
        <v>16160</v>
      </c>
      <c r="N599" s="441">
        <f t="shared" ca="1" si="369"/>
        <v>7170</v>
      </c>
      <c r="O599" s="441">
        <f t="shared" ref="O599:O607" ca="1" si="370">IF(L599&gt;0,N599*100/L599,0)</f>
        <v>44.368811881188115</v>
      </c>
      <c r="P599" s="441">
        <f t="shared" ref="P599:P607" ca="1" si="371">IF(M599&gt;0,N599*100/M599,0)</f>
        <v>44.368811881188115</v>
      </c>
      <c r="Q599" s="441">
        <f t="shared" ref="Q599:S599" ca="1" si="372">Q600+Q601</f>
        <v>0</v>
      </c>
      <c r="R599" s="441">
        <f t="shared" ca="1" si="372"/>
        <v>0</v>
      </c>
      <c r="S599" s="441">
        <f t="shared" ca="1" si="372"/>
        <v>0</v>
      </c>
      <c r="T599" s="441">
        <f t="shared" ref="T599:T607" ca="1" si="373">IF(Q599&gt;0,S599*100/Q599,0)</f>
        <v>0</v>
      </c>
      <c r="U599" s="441">
        <f t="shared" ref="U599:U607" ca="1" si="374">IF(R599&gt;0,S599*100/R599,0)</f>
        <v>0</v>
      </c>
    </row>
    <row r="600" spans="1:21" ht="18.75" hidden="1" x14ac:dyDescent="0.25">
      <c r="A600" s="436"/>
      <c r="B600" s="347"/>
      <c r="C600" s="347"/>
      <c r="D600" s="442"/>
      <c r="E600" s="443" t="s">
        <v>162</v>
      </c>
      <c r="F600" s="444"/>
      <c r="G600" s="445"/>
      <c r="H600" s="446" t="s">
        <v>14</v>
      </c>
      <c r="I600" s="440"/>
      <c r="J600" s="440"/>
      <c r="K600" s="353"/>
      <c r="L600" s="692">
        <f t="shared" ref="L600:N601" si="375">L603+L606</f>
        <v>0</v>
      </c>
      <c r="M600" s="352">
        <f t="shared" si="375"/>
        <v>0</v>
      </c>
      <c r="N600" s="352">
        <f t="shared" si="375"/>
        <v>0</v>
      </c>
      <c r="O600" s="352">
        <f t="shared" si="370"/>
        <v>0</v>
      </c>
      <c r="P600" s="352">
        <f t="shared" si="371"/>
        <v>0</v>
      </c>
      <c r="Q600" s="352">
        <f t="shared" ref="Q600:S601" si="376">Q603+Q606</f>
        <v>0</v>
      </c>
      <c r="R600" s="352">
        <f t="shared" si="376"/>
        <v>0</v>
      </c>
      <c r="S600" s="352">
        <f t="shared" si="376"/>
        <v>0</v>
      </c>
      <c r="T600" s="352">
        <f t="shared" si="373"/>
        <v>0</v>
      </c>
      <c r="U600" s="352">
        <f t="shared" si="374"/>
        <v>0</v>
      </c>
    </row>
    <row r="601" spans="1:21" ht="18.75" hidden="1" x14ac:dyDescent="0.25">
      <c r="A601" s="436"/>
      <c r="B601" s="347"/>
      <c r="C601" s="347"/>
      <c r="D601" s="442"/>
      <c r="E601" s="443" t="s">
        <v>163</v>
      </c>
      <c r="F601" s="444"/>
      <c r="G601" s="445"/>
      <c r="H601" s="446" t="s">
        <v>14</v>
      </c>
      <c r="I601" s="440"/>
      <c r="J601" s="440"/>
      <c r="K601" s="353"/>
      <c r="L601" s="692">
        <f t="shared" ca="1" si="375"/>
        <v>16160</v>
      </c>
      <c r="M601" s="352">
        <f t="shared" ca="1" si="375"/>
        <v>16160</v>
      </c>
      <c r="N601" s="352">
        <f t="shared" ca="1" si="375"/>
        <v>7170</v>
      </c>
      <c r="O601" s="352">
        <f t="shared" ca="1" si="370"/>
        <v>44.368811881188115</v>
      </c>
      <c r="P601" s="352">
        <f t="shared" ca="1" si="371"/>
        <v>44.368811881188115</v>
      </c>
      <c r="Q601" s="352">
        <f t="shared" ca="1" si="376"/>
        <v>0</v>
      </c>
      <c r="R601" s="352">
        <f t="shared" ca="1" si="376"/>
        <v>0</v>
      </c>
      <c r="S601" s="352">
        <f t="shared" ca="1" si="376"/>
        <v>0</v>
      </c>
      <c r="T601" s="352">
        <f t="shared" ca="1" si="373"/>
        <v>0</v>
      </c>
      <c r="U601" s="352">
        <f t="shared" ca="1" si="374"/>
        <v>0</v>
      </c>
    </row>
    <row r="602" spans="1:21" ht="18.75" x14ac:dyDescent="0.25">
      <c r="A602" s="436"/>
      <c r="B602" s="347"/>
      <c r="C602" s="347"/>
      <c r="D602" s="693" t="s">
        <v>22</v>
      </c>
      <c r="E602" s="444"/>
      <c r="F602" s="444"/>
      <c r="G602" s="445"/>
      <c r="H602" s="446" t="s">
        <v>14</v>
      </c>
      <c r="I602" s="448"/>
      <c r="J602" s="448"/>
      <c r="K602" s="449"/>
      <c r="L602" s="692">
        <f t="shared" ref="L602:N602" ca="1" si="377">L603+L604</f>
        <v>16160</v>
      </c>
      <c r="M602" s="352">
        <f t="shared" ca="1" si="377"/>
        <v>16160</v>
      </c>
      <c r="N602" s="352">
        <f t="shared" ca="1" si="377"/>
        <v>7170</v>
      </c>
      <c r="O602" s="352">
        <f t="shared" ca="1" si="370"/>
        <v>44.368811881188115</v>
      </c>
      <c r="P602" s="352">
        <f t="shared" ca="1" si="371"/>
        <v>44.368811881188115</v>
      </c>
      <c r="Q602" s="352">
        <f t="shared" ref="Q602:S602" ca="1" si="378">Q603+Q604</f>
        <v>0</v>
      </c>
      <c r="R602" s="352">
        <f t="shared" ca="1" si="378"/>
        <v>0</v>
      </c>
      <c r="S602" s="352">
        <f t="shared" ca="1" si="378"/>
        <v>0</v>
      </c>
      <c r="T602" s="352">
        <f t="shared" ca="1" si="373"/>
        <v>0</v>
      </c>
      <c r="U602" s="352">
        <f t="shared" ca="1" si="374"/>
        <v>0</v>
      </c>
    </row>
    <row r="603" spans="1:21" ht="18.75" hidden="1" x14ac:dyDescent="0.25">
      <c r="A603" s="436"/>
      <c r="B603" s="347"/>
      <c r="C603" s="347"/>
      <c r="D603" s="442"/>
      <c r="E603" s="443" t="s">
        <v>162</v>
      </c>
      <c r="F603" s="444"/>
      <c r="G603" s="445"/>
      <c r="H603" s="446" t="s">
        <v>14</v>
      </c>
      <c r="I603" s="440"/>
      <c r="J603" s="440"/>
      <c r="K603" s="353"/>
      <c r="L603" s="692">
        <v>0</v>
      </c>
      <c r="M603" s="352">
        <v>0</v>
      </c>
      <c r="N603" s="352">
        <v>0</v>
      </c>
      <c r="O603" s="352">
        <f t="shared" si="370"/>
        <v>0</v>
      </c>
      <c r="P603" s="352">
        <f t="shared" si="371"/>
        <v>0</v>
      </c>
      <c r="Q603" s="352">
        <v>0</v>
      </c>
      <c r="R603" s="352">
        <v>0</v>
      </c>
      <c r="S603" s="352">
        <v>0</v>
      </c>
      <c r="T603" s="352">
        <f t="shared" si="373"/>
        <v>0</v>
      </c>
      <c r="U603" s="352">
        <f t="shared" si="374"/>
        <v>0</v>
      </c>
    </row>
    <row r="604" spans="1:21" ht="18.75" hidden="1" x14ac:dyDescent="0.25">
      <c r="A604" s="436"/>
      <c r="B604" s="347"/>
      <c r="C604" s="347"/>
      <c r="D604" s="442"/>
      <c r="E604" s="443" t="s">
        <v>163</v>
      </c>
      <c r="F604" s="444"/>
      <c r="G604" s="445"/>
      <c r="H604" s="446" t="s">
        <v>14</v>
      </c>
      <c r="I604" s="440"/>
      <c r="J604" s="440"/>
      <c r="K604" s="353"/>
      <c r="L604" s="692">
        <f ca="1">IFERROR(__xludf.DUMMYFUNCTION("IMPORTRANGE(""https://docs.google.com/spreadsheets/d/1-uDff_7J0KD5mKrp0Vvzr7lt3OU09vwQwhkpOPPYv2Y/edit?usp=sharing"",""งบพรบ!HK79"")"),16160)</f>
        <v>16160</v>
      </c>
      <c r="M604" s="352">
        <f ca="1">IFERROR(__xludf.DUMMYFUNCTION("IMPORTRANGE(""https://docs.google.com/spreadsheets/d/1-uDff_7J0KD5mKrp0Vvzr7lt3OU09vwQwhkpOPPYv2Y/edit?usp=sharing"",""งบพรบ!HP79"")"),16160)</f>
        <v>16160</v>
      </c>
      <c r="N604" s="352">
        <f ca="1">IFERROR(__xludf.DUMMYFUNCTION("IMPORTRANGE(""https://docs.google.com/spreadsheets/d/1-uDff_7J0KD5mKrp0Vvzr7lt3OU09vwQwhkpOPPYv2Y/edit?usp=sharing"",""งบพรบ!HR79"")"),7170)</f>
        <v>7170</v>
      </c>
      <c r="O604" s="352">
        <f t="shared" ca="1" si="370"/>
        <v>44.368811881188115</v>
      </c>
      <c r="P604" s="352">
        <f t="shared" ca="1" si="371"/>
        <v>44.368811881188115</v>
      </c>
      <c r="Q604" s="352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352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352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352">
        <f t="shared" ca="1" si="373"/>
        <v>0</v>
      </c>
      <c r="U604" s="352">
        <f t="shared" ca="1" si="374"/>
        <v>0</v>
      </c>
    </row>
    <row r="605" spans="1:21" ht="18.75" x14ac:dyDescent="0.25">
      <c r="A605" s="436"/>
      <c r="B605" s="347"/>
      <c r="C605" s="347"/>
      <c r="D605" s="693" t="s">
        <v>23</v>
      </c>
      <c r="E605" s="347"/>
      <c r="F605" s="444"/>
      <c r="G605" s="445"/>
      <c r="H605" s="451" t="s">
        <v>14</v>
      </c>
      <c r="I605" s="448"/>
      <c r="J605" s="448"/>
      <c r="K605" s="449"/>
      <c r="L605" s="692">
        <f t="shared" ref="L605:N605" ca="1" si="379">L606+L607</f>
        <v>0</v>
      </c>
      <c r="M605" s="352">
        <f t="shared" ca="1" si="379"/>
        <v>0</v>
      </c>
      <c r="N605" s="352">
        <f t="shared" ca="1" si="379"/>
        <v>0</v>
      </c>
      <c r="O605" s="352">
        <f t="shared" ca="1" si="370"/>
        <v>0</v>
      </c>
      <c r="P605" s="352">
        <f t="shared" ca="1" si="371"/>
        <v>0</v>
      </c>
      <c r="Q605" s="352">
        <f t="shared" ref="Q605:S605" ca="1" si="380">Q606+Q607</f>
        <v>0</v>
      </c>
      <c r="R605" s="352">
        <f t="shared" ca="1" si="380"/>
        <v>0</v>
      </c>
      <c r="S605" s="352">
        <f t="shared" ca="1" si="380"/>
        <v>0</v>
      </c>
      <c r="T605" s="352">
        <f t="shared" ca="1" si="373"/>
        <v>0</v>
      </c>
      <c r="U605" s="352">
        <f t="shared" ca="1" si="374"/>
        <v>0</v>
      </c>
    </row>
    <row r="606" spans="1:21" ht="18.75" hidden="1" x14ac:dyDescent="0.25">
      <c r="A606" s="436"/>
      <c r="B606" s="347"/>
      <c r="C606" s="347"/>
      <c r="D606" s="347"/>
      <c r="E606" s="348" t="s">
        <v>20</v>
      </c>
      <c r="F606" s="444"/>
      <c r="G606" s="445"/>
      <c r="H606" s="446" t="s">
        <v>14</v>
      </c>
      <c r="I606" s="448"/>
      <c r="J606" s="448"/>
      <c r="K606" s="449"/>
      <c r="L606" s="692">
        <v>0</v>
      </c>
      <c r="M606" s="352">
        <v>0</v>
      </c>
      <c r="N606" s="352">
        <v>0</v>
      </c>
      <c r="O606" s="352">
        <f t="shared" si="370"/>
        <v>0</v>
      </c>
      <c r="P606" s="352">
        <f t="shared" si="371"/>
        <v>0</v>
      </c>
      <c r="Q606" s="352">
        <v>0</v>
      </c>
      <c r="R606" s="352">
        <v>0</v>
      </c>
      <c r="S606" s="352">
        <v>0</v>
      </c>
      <c r="T606" s="352">
        <f t="shared" si="373"/>
        <v>0</v>
      </c>
      <c r="U606" s="352">
        <f t="shared" si="374"/>
        <v>0</v>
      </c>
    </row>
    <row r="607" spans="1:21" ht="18.75" hidden="1" x14ac:dyDescent="0.25">
      <c r="A607" s="436"/>
      <c r="B607" s="347"/>
      <c r="C607" s="347"/>
      <c r="D607" s="444"/>
      <c r="E607" s="348" t="s">
        <v>21</v>
      </c>
      <c r="F607" s="444"/>
      <c r="G607" s="445"/>
      <c r="H607" s="451" t="s">
        <v>14</v>
      </c>
      <c r="I607" s="448"/>
      <c r="J607" s="448"/>
      <c r="K607" s="449"/>
      <c r="L607" s="692">
        <f ca="1">IFERROR(__xludf.DUMMYFUNCTION("IMPORTRANGE(""https://docs.google.com/spreadsheets/d/1-uDff_7J0KD5mKrp0Vvzr7lt3OU09vwQwhkpOPPYv2Y/edit?usp=sharing"",""งบพรบ!HN79"")"),0)</f>
        <v>0</v>
      </c>
      <c r="M607" s="352">
        <f ca="1">IFERROR(__xludf.DUMMYFUNCTION("IMPORTRANGE(""https://docs.google.com/spreadsheets/d/1-uDff_7J0KD5mKrp0Vvzr7lt3OU09vwQwhkpOPPYv2Y/edit?usp=sharing"",""งบพรบ!HQ79"")"),0)</f>
        <v>0</v>
      </c>
      <c r="N607" s="352">
        <f ca="1">IFERROR(__xludf.DUMMYFUNCTION("IMPORTRANGE(""https://docs.google.com/spreadsheets/d/1-uDff_7J0KD5mKrp0Vvzr7lt3OU09vwQwhkpOPPYv2Y/edit?usp=sharing"",""งบพรบ!HS79"")"),0)</f>
        <v>0</v>
      </c>
      <c r="O607" s="352">
        <f t="shared" ca="1" si="370"/>
        <v>0</v>
      </c>
      <c r="P607" s="352">
        <f t="shared" ca="1" si="371"/>
        <v>0</v>
      </c>
      <c r="Q607" s="352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352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352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352">
        <f t="shared" ca="1" si="373"/>
        <v>0</v>
      </c>
      <c r="U607" s="352">
        <f t="shared" ca="1" si="374"/>
        <v>0</v>
      </c>
    </row>
    <row r="608" spans="1:21" ht="19.5" hidden="1" x14ac:dyDescent="0.3">
      <c r="A608" s="452"/>
      <c r="B608" s="453"/>
      <c r="C608" s="437" t="s">
        <v>18</v>
      </c>
      <c r="D608" s="694" t="s">
        <v>38</v>
      </c>
      <c r="E608" s="455"/>
      <c r="F608" s="455"/>
      <c r="G608" s="456"/>
      <c r="H608" s="457"/>
      <c r="I608" s="448"/>
      <c r="J608" s="448"/>
      <c r="K608" s="449"/>
      <c r="L608" s="742"/>
      <c r="M608" s="353"/>
      <c r="N608" s="353"/>
      <c r="O608" s="353"/>
      <c r="P608" s="353"/>
      <c r="Q608" s="353"/>
      <c r="R608" s="353"/>
      <c r="S608" s="353"/>
      <c r="T608" s="353"/>
      <c r="U608" s="353"/>
    </row>
    <row r="609" spans="1:21" ht="18.75" hidden="1" x14ac:dyDescent="0.25">
      <c r="A609" s="452"/>
      <c r="B609" s="453"/>
      <c r="C609" s="453"/>
      <c r="D609" s="458" t="s">
        <v>223</v>
      </c>
      <c r="E609" s="442"/>
      <c r="F609" s="442"/>
      <c r="G609" s="459"/>
      <c r="H609" s="446" t="s">
        <v>99</v>
      </c>
      <c r="I609" s="440"/>
      <c r="J609" s="440"/>
      <c r="K609" s="449"/>
      <c r="L609" s="742"/>
      <c r="M609" s="353"/>
      <c r="N609" s="353"/>
      <c r="O609" s="353"/>
      <c r="P609" s="353"/>
      <c r="Q609" s="353"/>
      <c r="R609" s="353"/>
      <c r="S609" s="353"/>
      <c r="T609" s="353"/>
      <c r="U609" s="353"/>
    </row>
    <row r="610" spans="1:21" ht="19.5" hidden="1" x14ac:dyDescent="0.3">
      <c r="A610" s="452"/>
      <c r="B610" s="453"/>
      <c r="C610" s="453"/>
      <c r="D610" s="458" t="s">
        <v>224</v>
      </c>
      <c r="E610" s="442"/>
      <c r="F610" s="442"/>
      <c r="G610" s="459"/>
      <c r="H610" s="439" t="s">
        <v>35</v>
      </c>
      <c r="I610" s="440"/>
      <c r="J610" s="440"/>
      <c r="K610" s="449"/>
      <c r="L610" s="742"/>
      <c r="M610" s="353"/>
      <c r="N610" s="353"/>
      <c r="O610" s="353"/>
      <c r="P610" s="353"/>
      <c r="Q610" s="353"/>
      <c r="R610" s="353"/>
      <c r="S610" s="353"/>
      <c r="T610" s="353"/>
      <c r="U610" s="353"/>
    </row>
    <row r="611" spans="1:21" ht="18.75" hidden="1" x14ac:dyDescent="0.25">
      <c r="A611" s="452"/>
      <c r="B611" s="453"/>
      <c r="C611" s="453"/>
      <c r="D611" s="453"/>
      <c r="E611" s="458" t="s">
        <v>225</v>
      </c>
      <c r="F611" s="442"/>
      <c r="G611" s="459"/>
      <c r="H611" s="451" t="s">
        <v>35</v>
      </c>
      <c r="I611" s="440"/>
      <c r="J611" s="440"/>
      <c r="K611" s="449"/>
      <c r="L611" s="742"/>
      <c r="M611" s="353"/>
      <c r="N611" s="353"/>
      <c r="O611" s="353"/>
      <c r="P611" s="353"/>
      <c r="Q611" s="353"/>
      <c r="R611" s="353"/>
      <c r="S611" s="353"/>
      <c r="T611" s="353"/>
      <c r="U611" s="353"/>
    </row>
    <row r="612" spans="1:21" ht="19.5" hidden="1" thickBot="1" x14ac:dyDescent="0.3">
      <c r="A612" s="460"/>
      <c r="B612" s="461"/>
      <c r="C612" s="461"/>
      <c r="D612" s="461"/>
      <c r="E612" s="462" t="s">
        <v>226</v>
      </c>
      <c r="F612" s="463"/>
      <c r="G612" s="464"/>
      <c r="H612" s="465" t="s">
        <v>35</v>
      </c>
      <c r="I612" s="466"/>
      <c r="J612" s="466"/>
      <c r="K612" s="467"/>
      <c r="L612" s="896"/>
      <c r="M612" s="468"/>
      <c r="N612" s="468"/>
      <c r="O612" s="468"/>
      <c r="P612" s="468"/>
      <c r="Q612" s="468"/>
      <c r="R612" s="468"/>
      <c r="S612" s="468"/>
      <c r="T612" s="468"/>
      <c r="U612" s="468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50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133">
        <f t="shared" ref="Q616:S616" ca="1" si="385">Q617+Q618</f>
        <v>6825</v>
      </c>
      <c r="R616" s="133">
        <f t="shared" ca="1" si="385"/>
        <v>1825</v>
      </c>
      <c r="S616" s="133">
        <f t="shared" ca="1" si="385"/>
        <v>1825</v>
      </c>
      <c r="T616" s="133">
        <f t="shared" ref="T616:T624" ca="1" si="386">IF(Q616&gt;0,S616*100/Q616,0)</f>
        <v>26.739926739926741</v>
      </c>
      <c r="U616" s="133">
        <f t="shared" ref="U616:U624" ca="1" si="387">IF(R616&gt;0,S616*100/R616,0)</f>
        <v>100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49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47">
        <f t="shared" ca="1" si="389"/>
        <v>6825</v>
      </c>
      <c r="R618" s="47">
        <f t="shared" ca="1" si="389"/>
        <v>1825</v>
      </c>
      <c r="S618" s="47">
        <f t="shared" ca="1" si="389"/>
        <v>1825</v>
      </c>
      <c r="T618" s="47">
        <f t="shared" ca="1" si="386"/>
        <v>26.739926739926741</v>
      </c>
      <c r="U618" s="47">
        <f t="shared" ca="1" si="387"/>
        <v>100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47">
        <f t="shared" ref="Q619:S619" ca="1" si="391">Q620+Q621</f>
        <v>6825</v>
      </c>
      <c r="R619" s="47">
        <f t="shared" ca="1" si="391"/>
        <v>1825</v>
      </c>
      <c r="S619" s="47">
        <f t="shared" ca="1" si="391"/>
        <v>1825</v>
      </c>
      <c r="T619" s="47">
        <f t="shared" ca="1" si="386"/>
        <v>26.739926739926741</v>
      </c>
      <c r="U619" s="47">
        <f t="shared" ca="1" si="387"/>
        <v>100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49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IFERROR(__xludf.DUMMYFUNCTION("IMPORTRANGE(""https://docs.google.com/spreadsheets/d/1ItG2mGa2ceCfYo0BwxsXqNm01IGEUdYcSSLTEv9YCik/edit?usp=sharing"",""เบิกจ่ายกองทุน!G79"")"),1825)</f>
        <v>1825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t="shared" ca="1" si="386"/>
        <v>26.739926739926741</v>
      </c>
      <c r="U621" s="47">
        <f t="shared" ca="1" si="387"/>
        <v>100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47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49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47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IFERROR(__xludf.DUMMYFUNCTION("IMPORTRANGE(""https://docs.google.com/spreadsheets/d/1eHaY18a8A9IcSdp1K8H6x8fbOy06t2VsZHhMHf-1x7Y/edit?usp=sharing"",""แผน!ID79"")"),50)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IFERROR(__xludf.DUMMYFUNCTION("IMPORTRANGE(""https://docs.google.com/spreadsheets/d/1eHaY18a8A9IcSdp1K8H6x8fbOy06t2VsZHhMHf-1x7Y/edit?usp=sharing"",""แผน!IC79"")"),0)</f>
        <v>0</v>
      </c>
      <c r="J627" s="169">
        <v>0</v>
      </c>
      <c r="K627" s="47">
        <f t="shared" ref="K627:K628" ca="1" si="394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IFERROR(__xludf.DUMMYFUNCTION("IMPORTRANGE(""https://docs.google.com/spreadsheets/d/1eHaY18a8A9IcSdp1K8H6x8fbOy06t2VsZHhMHf-1x7Y/edit?usp=sharing"",""แผน!IC79"")"),0)</f>
        <v>0</v>
      </c>
      <c r="J628" s="169">
        <v>0</v>
      </c>
      <c r="K628" s="47">
        <f t="shared" ca="1" si="394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5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5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5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IFERROR(__xludf.DUMMYFUNCTION("IMPORTRANGE(""https://docs.google.com/spreadsheets/d/1eHaY18a8A9IcSdp1K8H6x8fbOy06t2VsZHhMHf-1x7Y/edit?usp=sharing"",""แผน!IE79"")"),0)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6">L643+L644</f>
        <v>0</v>
      </c>
      <c r="M642" s="133">
        <f t="shared" si="396"/>
        <v>0</v>
      </c>
      <c r="N642" s="133">
        <f t="shared" si="396"/>
        <v>0</v>
      </c>
      <c r="O642" s="133">
        <f t="shared" ref="O642:O650" si="397">IF(L642&gt;0,N642*100/L642,0)</f>
        <v>0</v>
      </c>
      <c r="P642" s="133">
        <f t="shared" ref="P642:P650" si="398">IF(M642&gt;0,N642*100/M642,0)</f>
        <v>0</v>
      </c>
      <c r="Q642" s="133">
        <f t="shared" ref="Q642:S642" ca="1" si="399">Q643+Q644</f>
        <v>0</v>
      </c>
      <c r="R642" s="133">
        <f t="shared" ca="1" si="399"/>
        <v>0</v>
      </c>
      <c r="S642" s="133">
        <f t="shared" ca="1" si="399"/>
        <v>0</v>
      </c>
      <c r="T642" s="133">
        <f t="shared" ref="T642:T650" ca="1" si="400">IF(Q642&gt;0,S642*100/Q642,0)</f>
        <v>0</v>
      </c>
      <c r="U642" s="133">
        <f t="shared" ref="U642:U650" ca="1" si="401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2">L646+L649</f>
        <v>0</v>
      </c>
      <c r="M643" s="49">
        <f t="shared" si="402"/>
        <v>0</v>
      </c>
      <c r="N643" s="49">
        <f t="shared" si="402"/>
        <v>0</v>
      </c>
      <c r="O643" s="49">
        <f t="shared" si="397"/>
        <v>0</v>
      </c>
      <c r="P643" s="49">
        <f t="shared" si="398"/>
        <v>0</v>
      </c>
      <c r="Q643" s="49">
        <f t="shared" ref="Q643:S644" si="403">Q646+Q649</f>
        <v>0</v>
      </c>
      <c r="R643" s="49">
        <f t="shared" si="403"/>
        <v>0</v>
      </c>
      <c r="S643" s="49">
        <f t="shared" si="403"/>
        <v>0</v>
      </c>
      <c r="T643" s="49">
        <f t="shared" si="400"/>
        <v>0</v>
      </c>
      <c r="U643" s="49">
        <f t="shared" si="401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2"/>
        <v>0</v>
      </c>
      <c r="M644" s="47">
        <f t="shared" si="402"/>
        <v>0</v>
      </c>
      <c r="N644" s="47">
        <f t="shared" si="402"/>
        <v>0</v>
      </c>
      <c r="O644" s="47">
        <f t="shared" si="397"/>
        <v>0</v>
      </c>
      <c r="P644" s="47">
        <f t="shared" si="398"/>
        <v>0</v>
      </c>
      <c r="Q644" s="47">
        <f t="shared" ca="1" si="403"/>
        <v>0</v>
      </c>
      <c r="R644" s="47">
        <f t="shared" ca="1" si="403"/>
        <v>0</v>
      </c>
      <c r="S644" s="47">
        <f t="shared" ca="1" si="403"/>
        <v>0</v>
      </c>
      <c r="T644" s="47">
        <f t="shared" ca="1" si="400"/>
        <v>0</v>
      </c>
      <c r="U644" s="47">
        <f t="shared" ca="1" si="401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4">L646+L647</f>
        <v>0</v>
      </c>
      <c r="M645" s="47">
        <f t="shared" si="404"/>
        <v>0</v>
      </c>
      <c r="N645" s="47">
        <f t="shared" si="404"/>
        <v>0</v>
      </c>
      <c r="O645" s="47">
        <f t="shared" si="397"/>
        <v>0</v>
      </c>
      <c r="P645" s="47">
        <f t="shared" si="398"/>
        <v>0</v>
      </c>
      <c r="Q645" s="47">
        <f t="shared" ref="Q645:S645" ca="1" si="405">Q646+Q647</f>
        <v>0</v>
      </c>
      <c r="R645" s="47">
        <f t="shared" ca="1" si="405"/>
        <v>0</v>
      </c>
      <c r="S645" s="47">
        <f t="shared" ca="1" si="405"/>
        <v>0</v>
      </c>
      <c r="T645" s="47">
        <f t="shared" ca="1" si="400"/>
        <v>0</v>
      </c>
      <c r="U645" s="47">
        <f t="shared" ca="1" si="401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7"/>
        <v>0</v>
      </c>
      <c r="P646" s="49">
        <f t="shared" si="398"/>
        <v>0</v>
      </c>
      <c r="Q646" s="49">
        <v>0</v>
      </c>
      <c r="R646" s="49">
        <v>0</v>
      </c>
      <c r="S646" s="49">
        <v>0</v>
      </c>
      <c r="T646" s="49">
        <f t="shared" si="400"/>
        <v>0</v>
      </c>
      <c r="U646" s="49">
        <f t="shared" si="401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7"/>
        <v>0</v>
      </c>
      <c r="P647" s="47">
        <f t="shared" si="398"/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t="shared" ca="1" si="400"/>
        <v>0</v>
      </c>
      <c r="U647" s="47">
        <f t="shared" ca="1" si="401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6">L649+L650</f>
        <v>0</v>
      </c>
      <c r="M648" s="47">
        <f t="shared" si="406"/>
        <v>0</v>
      </c>
      <c r="N648" s="47">
        <f t="shared" si="406"/>
        <v>0</v>
      </c>
      <c r="O648" s="47">
        <f t="shared" si="397"/>
        <v>0</v>
      </c>
      <c r="P648" s="47">
        <f t="shared" si="398"/>
        <v>0</v>
      </c>
      <c r="Q648" s="47">
        <f t="shared" ref="Q648:S648" si="407">Q649+Q650</f>
        <v>0</v>
      </c>
      <c r="R648" s="47">
        <f t="shared" si="407"/>
        <v>0</v>
      </c>
      <c r="S648" s="47">
        <f t="shared" si="407"/>
        <v>0</v>
      </c>
      <c r="T648" s="47">
        <f t="shared" si="400"/>
        <v>0</v>
      </c>
      <c r="U648" s="47">
        <f t="shared" si="401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7"/>
        <v>0</v>
      </c>
      <c r="P649" s="49">
        <f t="shared" si="398"/>
        <v>0</v>
      </c>
      <c r="Q649" s="49">
        <v>0</v>
      </c>
      <c r="R649" s="49">
        <v>0</v>
      </c>
      <c r="S649" s="49">
        <v>0</v>
      </c>
      <c r="T649" s="49">
        <f t="shared" si="400"/>
        <v>0</v>
      </c>
      <c r="U649" s="49">
        <f t="shared" si="401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7"/>
        <v>0</v>
      </c>
      <c r="P650" s="47">
        <f t="shared" si="398"/>
        <v>0</v>
      </c>
      <c r="Q650" s="47">
        <v>0</v>
      </c>
      <c r="R650" s="47">
        <v>0</v>
      </c>
      <c r="S650" s="47">
        <v>0</v>
      </c>
      <c r="T650" s="47">
        <f t="shared" si="400"/>
        <v>0</v>
      </c>
      <c r="U650" s="47">
        <f t="shared" si="401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IFERROR(__xludf.DUMMYFUNCTION("IMPORTRANGE(""https://docs.google.com/spreadsheets/d/1eHaY18a8A9IcSdp1K8H6x8fbOy06t2VsZHhMHf-1x7Y/edit?usp=sharing"",""แผน!IF79"")"),0)</f>
        <v>0</v>
      </c>
      <c r="J652" s="37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t="shared" ref="K652:K654" ca="1" si="408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IFERROR(__xludf.DUMMYFUNCTION("IMPORTRANGE(""https://docs.google.com/spreadsheets/d/1eHaY18a8A9IcSdp1K8H6x8fbOy06t2VsZHhMHf-1x7Y/edit?usp=sharing"",""แผน!IG79"")"),0)</f>
        <v>0</v>
      </c>
      <c r="J653" s="37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t="shared" ca="1" si="408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IFERROR(__xludf.DUMMYFUNCTION("IMPORTRANGE(""https://docs.google.com/spreadsheets/d/1eHaY18a8A9IcSdp1K8H6x8fbOy06t2VsZHhMHf-1x7Y/edit?usp=sharing"",""แผน!IH79"")"),0)</f>
        <v>0</v>
      </c>
      <c r="J654" s="371">
        <f>J657+J660</f>
        <v>0</v>
      </c>
      <c r="K654" s="133">
        <f t="shared" ca="1" si="408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IFERROR(__xludf.DUMMYFUNCTION("IMPORTRANGE(""https://docs.google.com/spreadsheets/d/1eHaY18a8A9IcSdp1K8H6x8fbOy06t2VsZHhMHf-1x7Y/edit?usp=sharing"",""แผน!II79"")"),0)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IFERROR(__xludf.DUMMYFUNCTION("IMPORTRANGE(""https://docs.google.com/spreadsheets/d/1eHaY18a8A9IcSdp1K8H6x8fbOy06t2VsZHhMHf-1x7Y/edit?usp=sharing"",""แผน!IJ79"")"),0)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IFERROR(__xludf.DUMMYFUNCTION("IMPORTRANGE(""https://docs.google.com/spreadsheets/d/1eHaY18a8A9IcSdp1K8H6x8fbOy06t2VsZHhMHf-1x7Y/edit?usp=sharing"",""แผน!IK79"")"),0)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IFERROR(__xludf.DUMMYFUNCTION("IMPORTRANGE(""https://docs.google.com/spreadsheets/d/1eHaY18a8A9IcSdp1K8H6x8fbOy06t2VsZHhMHf-1x7Y/edit?usp=sharing"",""แผน!IL79"")"),0)</f>
        <v>0</v>
      </c>
      <c r="J673" s="37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t="shared" ref="K673:K676" ca="1" si="409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IFERROR(__xludf.DUMMYFUNCTION("IMPORTRANGE(""https://docs.google.com/spreadsheets/d/1eHaY18a8A9IcSdp1K8H6x8fbOy06t2VsZHhMHf-1x7Y/edit?usp=sharing"",""แผน!IM79"")"),0)</f>
        <v>0</v>
      </c>
      <c r="J674" s="371">
        <f ca="1">J676+J679</f>
        <v>0</v>
      </c>
      <c r="K674" s="133">
        <f t="shared" ca="1" si="409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IFERROR(__xludf.DUMMYFUNCTION("IMPORTRANGE(""https://docs.google.com/spreadsheets/d/1eHaY18a8A9IcSdp1K8H6x8fbOy06t2VsZHhMHf-1x7Y/edit?usp=sharing"",""แผน!IN79"")"),0)</f>
        <v>0</v>
      </c>
      <c r="J675" s="371">
        <f ca="1">J678+J681</f>
        <v>0</v>
      </c>
      <c r="K675" s="133">
        <f t="shared" ca="1" si="409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IFERROR(__xludf.DUMMYFUNCTION("IMPORTRANGE(""https://docs.google.com/spreadsheets/d/1eHaY18a8A9IcSdp1K8H6x8fbOy06t2VsZHhMHf-1x7Y/edit?usp=sharing"",""แผน!IO79"")"),0)</f>
        <v>0</v>
      </c>
      <c r="J676" s="37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t="shared" ca="1" si="409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IFERROR(__xludf.DUMMYFUNCTION("IMPORTRANGE(""https://docs.google.com/spreadsheets/d/1eHaY18a8A9IcSdp1K8H6x8fbOy06t2VsZHhMHf-1x7Y/edit?usp=sharing"",""แผน!IP79"")"),0)</f>
        <v>0</v>
      </c>
      <c r="J678" s="37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t="shared" ref="K678:K679" ca="1" si="410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IFERROR(__xludf.DUMMYFUNCTION("IMPORTRANGE(""https://docs.google.com/spreadsheets/d/1eHaY18a8A9IcSdp1K8H6x8fbOy06t2VsZHhMHf-1x7Y/edit?usp=sharing"",""แผน!IQ79"")"),0)</f>
        <v>0</v>
      </c>
      <c r="J679" s="37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t="shared" ca="1" si="410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IFERROR(__xludf.DUMMYFUNCTION("IMPORTRANGE(""https://docs.google.com/spreadsheets/d/1eHaY18a8A9IcSdp1K8H6x8fbOy06t2VsZHhMHf-1x7Y/edit?usp=sharing"",""แผน!IR79"")"),0)</f>
        <v>0</v>
      </c>
      <c r="J681" s="37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t="shared" ref="K681:K682" ca="1" si="411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IFERROR(__xludf.DUMMYFUNCTION("IMPORTRANGE(""https://docs.google.com/spreadsheets/d/1eHaY18a8A9IcSdp1K8H6x8fbOy06t2VsZHhMHf-1x7Y/edit?usp=sharing"",""แผน!IS79"")"),0)</f>
        <v>0</v>
      </c>
      <c r="J682" s="371">
        <f>J685+J688</f>
        <v>0</v>
      </c>
      <c r="K682" s="133">
        <f t="shared" ca="1" si="411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2">I707+I709</f>
        <v>0</v>
      </c>
      <c r="J689" s="844">
        <f t="shared" ca="1" si="412"/>
        <v>2</v>
      </c>
      <c r="K689" s="505">
        <f ca="1">IF(I689&gt;0,J689*100/I689,0)</f>
        <v>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3">L691+L692</f>
        <v>0</v>
      </c>
      <c r="M690" s="133">
        <f t="shared" si="413"/>
        <v>0</v>
      </c>
      <c r="N690" s="133">
        <f t="shared" si="413"/>
        <v>0</v>
      </c>
      <c r="O690" s="133">
        <f t="shared" ref="O690:O698" si="414">IF(L690&gt;0,N690*100/L690,0)</f>
        <v>0</v>
      </c>
      <c r="P690" s="133">
        <f t="shared" ref="P690:P698" si="415">IF(M690&gt;0,N690*100/M690,0)</f>
        <v>0</v>
      </c>
      <c r="Q690" s="133">
        <f t="shared" ref="Q690:S690" ca="1" si="416">Q691+Q692</f>
        <v>0</v>
      </c>
      <c r="R690" s="133">
        <f t="shared" ca="1" si="416"/>
        <v>0</v>
      </c>
      <c r="S690" s="133">
        <f t="shared" ca="1" si="416"/>
        <v>0</v>
      </c>
      <c r="T690" s="133">
        <f t="shared" ref="T690:T698" ca="1" si="417">IF(Q690&gt;0,S690*100/Q690,0)</f>
        <v>0</v>
      </c>
      <c r="U690" s="133">
        <f t="shared" ref="U690:U698" ca="1" si="418">IF(R690&gt;0,S690*100/R690,0)</f>
        <v>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9">L694+L697</f>
        <v>0</v>
      </c>
      <c r="M691" s="49">
        <f t="shared" si="419"/>
        <v>0</v>
      </c>
      <c r="N691" s="49">
        <f t="shared" si="419"/>
        <v>0</v>
      </c>
      <c r="O691" s="49">
        <f t="shared" si="414"/>
        <v>0</v>
      </c>
      <c r="P691" s="49">
        <f t="shared" si="415"/>
        <v>0</v>
      </c>
      <c r="Q691" s="49">
        <f t="shared" ref="Q691:S692" si="420">Q694+Q697</f>
        <v>0</v>
      </c>
      <c r="R691" s="49">
        <f t="shared" si="420"/>
        <v>0</v>
      </c>
      <c r="S691" s="49">
        <f t="shared" si="420"/>
        <v>0</v>
      </c>
      <c r="T691" s="49">
        <f t="shared" si="417"/>
        <v>0</v>
      </c>
      <c r="U691" s="49">
        <f t="shared" si="418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9"/>
        <v>0</v>
      </c>
      <c r="M692" s="47">
        <f t="shared" si="419"/>
        <v>0</v>
      </c>
      <c r="N692" s="47">
        <f t="shared" si="419"/>
        <v>0</v>
      </c>
      <c r="O692" s="47">
        <f t="shared" si="414"/>
        <v>0</v>
      </c>
      <c r="P692" s="47">
        <f t="shared" si="415"/>
        <v>0</v>
      </c>
      <c r="Q692" s="47">
        <f t="shared" ca="1" si="420"/>
        <v>0</v>
      </c>
      <c r="R692" s="47">
        <f t="shared" ca="1" si="420"/>
        <v>0</v>
      </c>
      <c r="S692" s="47">
        <f t="shared" ca="1" si="420"/>
        <v>0</v>
      </c>
      <c r="T692" s="47">
        <f t="shared" ca="1" si="417"/>
        <v>0</v>
      </c>
      <c r="U692" s="47">
        <f t="shared" ca="1" si="418"/>
        <v>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1">L694+L695</f>
        <v>0</v>
      </c>
      <c r="M693" s="47">
        <f t="shared" si="421"/>
        <v>0</v>
      </c>
      <c r="N693" s="47">
        <f t="shared" si="421"/>
        <v>0</v>
      </c>
      <c r="O693" s="47">
        <f t="shared" si="414"/>
        <v>0</v>
      </c>
      <c r="P693" s="47">
        <f t="shared" si="415"/>
        <v>0</v>
      </c>
      <c r="Q693" s="47">
        <f t="shared" ref="Q693:S693" ca="1" si="422">Q694+Q695</f>
        <v>0</v>
      </c>
      <c r="R693" s="47">
        <f t="shared" ca="1" si="422"/>
        <v>0</v>
      </c>
      <c r="S693" s="47">
        <f t="shared" ca="1" si="422"/>
        <v>0</v>
      </c>
      <c r="T693" s="47">
        <f t="shared" ca="1" si="417"/>
        <v>0</v>
      </c>
      <c r="U693" s="47">
        <f t="shared" ca="1" si="418"/>
        <v>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4"/>
        <v>0</v>
      </c>
      <c r="P694" s="49">
        <f t="shared" si="415"/>
        <v>0</v>
      </c>
      <c r="Q694" s="49">
        <v>0</v>
      </c>
      <c r="R694" s="49">
        <v>0</v>
      </c>
      <c r="S694" s="49">
        <v>0</v>
      </c>
      <c r="T694" s="49">
        <f t="shared" si="417"/>
        <v>0</v>
      </c>
      <c r="U694" s="49">
        <f t="shared" si="418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4"/>
        <v>0</v>
      </c>
      <c r="P695" s="47">
        <f t="shared" si="415"/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t="shared" ca="1" si="417"/>
        <v>0</v>
      </c>
      <c r="U695" s="47">
        <f t="shared" ca="1" si="418"/>
        <v>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3">L697+L698</f>
        <v>0</v>
      </c>
      <c r="M696" s="47">
        <f t="shared" si="423"/>
        <v>0</v>
      </c>
      <c r="N696" s="47">
        <f t="shared" si="423"/>
        <v>0</v>
      </c>
      <c r="O696" s="47">
        <f t="shared" si="414"/>
        <v>0</v>
      </c>
      <c r="P696" s="47">
        <f t="shared" si="415"/>
        <v>0</v>
      </c>
      <c r="Q696" s="47">
        <f t="shared" ref="Q696:S696" si="424">Q697+Q698</f>
        <v>0</v>
      </c>
      <c r="R696" s="47">
        <f t="shared" si="424"/>
        <v>0</v>
      </c>
      <c r="S696" s="47">
        <f t="shared" si="424"/>
        <v>0</v>
      </c>
      <c r="T696" s="47">
        <f t="shared" si="417"/>
        <v>0</v>
      </c>
      <c r="U696" s="47">
        <f t="shared" si="418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4"/>
        <v>0</v>
      </c>
      <c r="P697" s="49">
        <f t="shared" si="415"/>
        <v>0</v>
      </c>
      <c r="Q697" s="49">
        <v>0</v>
      </c>
      <c r="R697" s="49">
        <v>0</v>
      </c>
      <c r="S697" s="49">
        <v>0</v>
      </c>
      <c r="T697" s="49">
        <f t="shared" si="417"/>
        <v>0</v>
      </c>
      <c r="U697" s="49">
        <f t="shared" si="418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4"/>
        <v>0</v>
      </c>
      <c r="P698" s="47">
        <f t="shared" si="415"/>
        <v>0</v>
      </c>
      <c r="Q698" s="47">
        <v>0</v>
      </c>
      <c r="R698" s="47">
        <v>0</v>
      </c>
      <c r="S698" s="47">
        <v>0</v>
      </c>
      <c r="T698" s="47">
        <f t="shared" si="417"/>
        <v>0</v>
      </c>
      <c r="U698" s="47">
        <f t="shared" si="418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IFERROR(__xludf.DUMMYFUNCTION("IMPORTRANGE(""https://docs.google.com/spreadsheets/d/1eHaY18a8A9IcSdp1K8H6x8fbOy06t2VsZHhMHf-1x7Y/edit?usp=sharing"",""แผน!LC79"")"),0)</f>
        <v>0</v>
      </c>
      <c r="J700" s="169">
        <v>0</v>
      </c>
      <c r="K700" s="154">
        <f t="shared" ref="K700:K710" ca="1" si="425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6">I703+I705</f>
        <v>0</v>
      </c>
      <c r="J701" s="371">
        <f t="shared" ca="1" si="426"/>
        <v>2</v>
      </c>
      <c r="K701" s="133">
        <f t="shared" ca="1" si="425"/>
        <v>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898">
        <f ca="1">J704+J706</f>
        <v>0.21</v>
      </c>
      <c r="K702" s="133">
        <f t="shared" si="425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IFERROR(__xludf.DUMMYFUNCTION("IMPORTRANGE(""https://docs.google.com/spreadsheets/d/1eHaY18a8A9IcSdp1K8H6x8fbOy06t2VsZHhMHf-1x7Y/edit?usp=sharing"",""แผน!LJ79"")"),0)</f>
        <v>0</v>
      </c>
      <c r="J703" s="37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t="shared" ca="1" si="425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729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 t="shared" si="425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IFERROR(__xludf.DUMMYFUNCTION("IMPORTRANGE(""https://docs.google.com/spreadsheets/d/1eHaY18a8A9IcSdp1K8H6x8fbOy06t2VsZHhMHf-1x7Y/edit?usp=sharing"",""แผน!LK79"")"),0)</f>
        <v>0</v>
      </c>
      <c r="J705" s="372">
        <f ca="1">IFERROR(__xludf.DUMMYFUNCTION("IMPORTRANGE(""https://docs.google.com/spreadsheets/d/1tdoBKaGub7dwA3U6UFTqxio9LNnvDCQjHKmttSEBsFQ/edit?usp=sharing"",""จัดที่ดิน!AR79"")"),0)</f>
        <v>0</v>
      </c>
      <c r="K705" s="154">
        <f t="shared" ca="1" si="425"/>
        <v>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 t="shared" si="425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IFERROR(__xludf.DUMMYFUNCTION("IMPORTRANGE(""https://docs.google.com/spreadsheets/d/1eHaY18a8A9IcSdp1K8H6x8fbOy06t2VsZHhMHf-1x7Y/edit?usp=sharing"",""แผน!LJ79"")"),0)</f>
        <v>0</v>
      </c>
      <c r="J707" s="372">
        <f ca="1">IFERROR(__xludf.DUMMYFUNCTION("IMPORTRANGE(""https://docs.google.com/spreadsheets/d/1tdoBKaGub7dwA3U6UFTqxio9LNnvDCQjHKmttSEBsFQ/edit?usp=sharing"",""จัดที่ดิน!BN79"")"),2)</f>
        <v>2</v>
      </c>
      <c r="K707" s="47">
        <f t="shared" ca="1" si="425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IFERROR(__xludf.DUMMYFUNCTION("IMPORTRANGE(""https://docs.google.com/spreadsheets/d/1tdoBKaGub7dwA3U6UFTqxio9LNnvDCQjHKmttSEBsFQ/edit?usp=sharing"",""จัดที่ดิน!BO79"")"),0.21)</f>
        <v>0.21</v>
      </c>
      <c r="K708" s="47">
        <f t="shared" si="425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IFERROR(__xludf.DUMMYFUNCTION("IMPORTRANGE(""https://docs.google.com/spreadsheets/d/1eHaY18a8A9IcSdp1K8H6x8fbOy06t2VsZHhMHf-1x7Y/edit?usp=sharing"",""แผน!LK79"")"),0)</f>
        <v>0</v>
      </c>
      <c r="J709" s="37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t="shared" ca="1" si="425"/>
        <v>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 t="shared" si="425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7">L715+L716</f>
        <v>0</v>
      </c>
      <c r="M714" s="133">
        <f t="shared" si="427"/>
        <v>0</v>
      </c>
      <c r="N714" s="133">
        <f t="shared" si="427"/>
        <v>0</v>
      </c>
      <c r="O714" s="133">
        <f t="shared" ref="O714:O722" si="428">IF(L714&gt;0,N714*100/L714,0)</f>
        <v>0</v>
      </c>
      <c r="P714" s="133">
        <f t="shared" ref="P714:P722" si="429">IF(M714&gt;0,N714*100/M714,0)</f>
        <v>0</v>
      </c>
      <c r="Q714" s="133">
        <f t="shared" ref="Q714:S714" si="430">Q715+Q716</f>
        <v>0</v>
      </c>
      <c r="R714" s="133">
        <f t="shared" si="430"/>
        <v>0</v>
      </c>
      <c r="S714" s="133">
        <f t="shared" si="430"/>
        <v>0</v>
      </c>
      <c r="T714" s="133">
        <f t="shared" ref="T714:T722" si="431">IF(Q714&gt;0,S714*100/Q714,0)</f>
        <v>0</v>
      </c>
      <c r="U714" s="133">
        <f t="shared" ref="U714:U722" si="432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3">L718+L721</f>
        <v>0</v>
      </c>
      <c r="M715" s="49">
        <f t="shared" si="433"/>
        <v>0</v>
      </c>
      <c r="N715" s="49">
        <f t="shared" si="433"/>
        <v>0</v>
      </c>
      <c r="O715" s="49">
        <f t="shared" si="428"/>
        <v>0</v>
      </c>
      <c r="P715" s="49">
        <f t="shared" si="429"/>
        <v>0</v>
      </c>
      <c r="Q715" s="49">
        <f t="shared" ref="Q715:S716" si="434">Q718+Q721</f>
        <v>0</v>
      </c>
      <c r="R715" s="49">
        <f t="shared" si="434"/>
        <v>0</v>
      </c>
      <c r="S715" s="49">
        <f t="shared" si="434"/>
        <v>0</v>
      </c>
      <c r="T715" s="49">
        <f t="shared" si="431"/>
        <v>0</v>
      </c>
      <c r="U715" s="49">
        <f t="shared" si="432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3"/>
        <v>0</v>
      </c>
      <c r="M716" s="47">
        <f t="shared" si="433"/>
        <v>0</v>
      </c>
      <c r="N716" s="47">
        <f t="shared" si="433"/>
        <v>0</v>
      </c>
      <c r="O716" s="47">
        <f t="shared" si="428"/>
        <v>0</v>
      </c>
      <c r="P716" s="47">
        <f t="shared" si="429"/>
        <v>0</v>
      </c>
      <c r="Q716" s="47">
        <f t="shared" si="434"/>
        <v>0</v>
      </c>
      <c r="R716" s="47">
        <f t="shared" si="434"/>
        <v>0</v>
      </c>
      <c r="S716" s="47">
        <f t="shared" si="434"/>
        <v>0</v>
      </c>
      <c r="T716" s="47">
        <f t="shared" si="431"/>
        <v>0</v>
      </c>
      <c r="U716" s="47">
        <f t="shared" si="432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5">L718+L719</f>
        <v>0</v>
      </c>
      <c r="M717" s="47">
        <f t="shared" si="435"/>
        <v>0</v>
      </c>
      <c r="N717" s="47">
        <f t="shared" si="435"/>
        <v>0</v>
      </c>
      <c r="O717" s="47">
        <f t="shared" si="428"/>
        <v>0</v>
      </c>
      <c r="P717" s="47">
        <f t="shared" si="429"/>
        <v>0</v>
      </c>
      <c r="Q717" s="47">
        <f t="shared" ref="Q717:S717" si="436">Q718+Q719</f>
        <v>0</v>
      </c>
      <c r="R717" s="47">
        <f t="shared" si="436"/>
        <v>0</v>
      </c>
      <c r="S717" s="47">
        <f t="shared" si="436"/>
        <v>0</v>
      </c>
      <c r="T717" s="47">
        <f t="shared" si="431"/>
        <v>0</v>
      </c>
      <c r="U717" s="47">
        <f t="shared" si="432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8"/>
        <v>0</v>
      </c>
      <c r="P718" s="49">
        <f t="shared" si="429"/>
        <v>0</v>
      </c>
      <c r="Q718" s="49">
        <v>0</v>
      </c>
      <c r="R718" s="49">
        <v>0</v>
      </c>
      <c r="S718" s="49">
        <v>0</v>
      </c>
      <c r="T718" s="49">
        <f t="shared" si="431"/>
        <v>0</v>
      </c>
      <c r="U718" s="49">
        <f t="shared" si="432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8"/>
        <v>0</v>
      </c>
      <c r="P719" s="47">
        <f t="shared" si="429"/>
        <v>0</v>
      </c>
      <c r="Q719" s="47">
        <v>0</v>
      </c>
      <c r="R719" s="47">
        <v>0</v>
      </c>
      <c r="S719" s="47">
        <v>0</v>
      </c>
      <c r="T719" s="47">
        <f t="shared" si="431"/>
        <v>0</v>
      </c>
      <c r="U719" s="47">
        <f t="shared" si="432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7">L721+L722</f>
        <v>0</v>
      </c>
      <c r="M720" s="47">
        <f t="shared" si="437"/>
        <v>0</v>
      </c>
      <c r="N720" s="47">
        <f t="shared" si="437"/>
        <v>0</v>
      </c>
      <c r="O720" s="47">
        <f t="shared" si="428"/>
        <v>0</v>
      </c>
      <c r="P720" s="47">
        <f t="shared" si="429"/>
        <v>0</v>
      </c>
      <c r="Q720" s="47">
        <f t="shared" ref="Q720:S720" si="438">Q721+Q722</f>
        <v>0</v>
      </c>
      <c r="R720" s="47">
        <f t="shared" si="438"/>
        <v>0</v>
      </c>
      <c r="S720" s="47">
        <f t="shared" si="438"/>
        <v>0</v>
      </c>
      <c r="T720" s="47">
        <f t="shared" si="431"/>
        <v>0</v>
      </c>
      <c r="U720" s="47">
        <f t="shared" si="432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8"/>
        <v>0</v>
      </c>
      <c r="P721" s="49">
        <f t="shared" si="429"/>
        <v>0</v>
      </c>
      <c r="Q721" s="49">
        <v>0</v>
      </c>
      <c r="R721" s="49">
        <v>0</v>
      </c>
      <c r="S721" s="49">
        <v>0</v>
      </c>
      <c r="T721" s="49">
        <f t="shared" si="431"/>
        <v>0</v>
      </c>
      <c r="U721" s="49">
        <f t="shared" si="432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8"/>
        <v>0</v>
      </c>
      <c r="P722" s="47">
        <f t="shared" si="429"/>
        <v>0</v>
      </c>
      <c r="Q722" s="47">
        <v>0</v>
      </c>
      <c r="R722" s="47">
        <v>0</v>
      </c>
      <c r="S722" s="47">
        <v>0</v>
      </c>
      <c r="T722" s="47">
        <f t="shared" si="431"/>
        <v>0</v>
      </c>
      <c r="U722" s="47">
        <f t="shared" si="432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IFERROR(__xludf.DUMMYFUNCTION("IMPORTRANGE(""https://docs.google.com/spreadsheets/d/1eHaY18a8A9IcSdp1K8H6x8fbOy06t2VsZHhMHf-1x7Y/edit?usp=sharing"",""แผน!GA79"")"),11)</f>
        <v>11</v>
      </c>
      <c r="J726" s="504">
        <f>J742+J746+J749</f>
        <v>11</v>
      </c>
      <c r="K726" s="505">
        <f t="shared" ref="K726:K727" ca="1" si="439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IFERROR(__xludf.DUMMYFUNCTION("IMPORTRANGE(""https://docs.google.com/spreadsheets/d/1eHaY18a8A9IcSdp1K8H6x8fbOy06t2VsZHhMHf-1x7Y/edit?usp=sharing"",""แผน!FZ79"")"),100)</f>
        <v>100</v>
      </c>
      <c r="J727" s="504">
        <f>J752+J755</f>
        <v>100</v>
      </c>
      <c r="K727" s="505">
        <f t="shared" ca="1" si="439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0">L729+L730</f>
        <v>0</v>
      </c>
      <c r="M728" s="133">
        <f t="shared" si="440"/>
        <v>0</v>
      </c>
      <c r="N728" s="133">
        <f t="shared" si="440"/>
        <v>0</v>
      </c>
      <c r="O728" s="133">
        <f t="shared" ref="O728:O736" si="441">IF(L728&gt;0,N728*100/L728,0)</f>
        <v>0</v>
      </c>
      <c r="P728" s="133">
        <f t="shared" ref="P728:P736" si="442">IF(M728&gt;0,N728*100/M728,0)</f>
        <v>0</v>
      </c>
      <c r="Q728" s="133">
        <f t="shared" ref="Q728:S728" ca="1" si="443">Q729+Q730</f>
        <v>111882</v>
      </c>
      <c r="R728" s="133">
        <f t="shared" ca="1" si="443"/>
        <v>128882</v>
      </c>
      <c r="S728" s="133">
        <f t="shared" ca="1" si="443"/>
        <v>128882</v>
      </c>
      <c r="T728" s="133">
        <f t="shared" ref="T728:T736" ca="1" si="444">IF(Q728&gt;0,S728*100/Q728,0)</f>
        <v>115.19458000393271</v>
      </c>
      <c r="U728" s="133">
        <f t="shared" ref="U728:U736" ca="1" si="445">IF(R728&gt;0,S728*100/R728,0)</f>
        <v>100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6">L732+L735</f>
        <v>0</v>
      </c>
      <c r="M729" s="49">
        <f t="shared" si="446"/>
        <v>0</v>
      </c>
      <c r="N729" s="49">
        <f t="shared" si="446"/>
        <v>0</v>
      </c>
      <c r="O729" s="49">
        <f t="shared" si="441"/>
        <v>0</v>
      </c>
      <c r="P729" s="49">
        <f t="shared" si="442"/>
        <v>0</v>
      </c>
      <c r="Q729" s="49">
        <f t="shared" ref="Q729:S730" si="447">Q732+Q735</f>
        <v>0</v>
      </c>
      <c r="R729" s="49">
        <f t="shared" si="447"/>
        <v>0</v>
      </c>
      <c r="S729" s="49">
        <f t="shared" si="447"/>
        <v>0</v>
      </c>
      <c r="T729" s="49">
        <f t="shared" si="444"/>
        <v>0</v>
      </c>
      <c r="U729" s="49">
        <f t="shared" si="445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6"/>
        <v>0</v>
      </c>
      <c r="M730" s="47">
        <f t="shared" si="446"/>
        <v>0</v>
      </c>
      <c r="N730" s="47">
        <f t="shared" si="446"/>
        <v>0</v>
      </c>
      <c r="O730" s="47">
        <f t="shared" si="441"/>
        <v>0</v>
      </c>
      <c r="P730" s="47">
        <f t="shared" si="442"/>
        <v>0</v>
      </c>
      <c r="Q730" s="47">
        <f t="shared" ca="1" si="447"/>
        <v>111882</v>
      </c>
      <c r="R730" s="47">
        <f t="shared" ca="1" si="447"/>
        <v>128882</v>
      </c>
      <c r="S730" s="47">
        <f t="shared" ca="1" si="447"/>
        <v>128882</v>
      </c>
      <c r="T730" s="47">
        <f t="shared" ca="1" si="444"/>
        <v>115.19458000393271</v>
      </c>
      <c r="U730" s="47">
        <f t="shared" ca="1" si="445"/>
        <v>100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8">L732+L733</f>
        <v>0</v>
      </c>
      <c r="M731" s="47">
        <f t="shared" si="448"/>
        <v>0</v>
      </c>
      <c r="N731" s="47">
        <f t="shared" si="448"/>
        <v>0</v>
      </c>
      <c r="O731" s="47">
        <f t="shared" si="441"/>
        <v>0</v>
      </c>
      <c r="P731" s="47">
        <f t="shared" si="442"/>
        <v>0</v>
      </c>
      <c r="Q731" s="47">
        <f t="shared" ref="Q731:S731" ca="1" si="449">Q732+Q733</f>
        <v>111882</v>
      </c>
      <c r="R731" s="47">
        <f t="shared" ca="1" si="449"/>
        <v>128882</v>
      </c>
      <c r="S731" s="47">
        <f t="shared" ca="1" si="449"/>
        <v>128882</v>
      </c>
      <c r="T731" s="47">
        <f t="shared" ca="1" si="444"/>
        <v>115.19458000393271</v>
      </c>
      <c r="U731" s="47">
        <f t="shared" ca="1" si="445"/>
        <v>100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1"/>
        <v>0</v>
      </c>
      <c r="P732" s="49">
        <f t="shared" si="442"/>
        <v>0</v>
      </c>
      <c r="Q732" s="49">
        <v>0</v>
      </c>
      <c r="R732" s="49">
        <v>0</v>
      </c>
      <c r="S732" s="49">
        <v>0</v>
      </c>
      <c r="T732" s="49">
        <f t="shared" si="444"/>
        <v>0</v>
      </c>
      <c r="U732" s="49">
        <f t="shared" si="445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1"/>
        <v>0</v>
      </c>
      <c r="P733" s="47">
        <f t="shared" si="442"/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IFERROR(__xludf.DUMMYFUNCTION("IMPORTRANGE(""https://docs.google.com/spreadsheets/d/1ItG2mGa2ceCfYo0BwxsXqNm01IGEUdYcSSLTEv9YCik/edit?usp=sharing"",""เบิกจ่ายกองทุน!P79"")"),128882)</f>
        <v>128882</v>
      </c>
      <c r="S733" s="47">
        <f ca="1">IFERROR(__xludf.DUMMYFUNCTION("IMPORTRANGE(""https://docs.google.com/spreadsheets/d/1ItG2mGa2ceCfYo0BwxsXqNm01IGEUdYcSSLTEv9YCik/edit?usp=sharing"",""เบิกจ่ายกองทุน!Q79"")"),128882)</f>
        <v>128882</v>
      </c>
      <c r="T733" s="47">
        <f t="shared" ca="1" si="444"/>
        <v>115.19458000393271</v>
      </c>
      <c r="U733" s="47">
        <f t="shared" ca="1" si="445"/>
        <v>100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0">L735+L736</f>
        <v>0</v>
      </c>
      <c r="M734" s="47">
        <f t="shared" si="450"/>
        <v>0</v>
      </c>
      <c r="N734" s="47">
        <f t="shared" si="450"/>
        <v>0</v>
      </c>
      <c r="O734" s="47">
        <f t="shared" si="441"/>
        <v>0</v>
      </c>
      <c r="P734" s="47">
        <f t="shared" si="442"/>
        <v>0</v>
      </c>
      <c r="Q734" s="47">
        <f t="shared" ref="Q734:S734" si="451">Q735+Q736</f>
        <v>0</v>
      </c>
      <c r="R734" s="47">
        <f t="shared" si="451"/>
        <v>0</v>
      </c>
      <c r="S734" s="47">
        <f t="shared" si="451"/>
        <v>0</v>
      </c>
      <c r="T734" s="47">
        <f t="shared" si="444"/>
        <v>0</v>
      </c>
      <c r="U734" s="47">
        <f t="shared" si="445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1"/>
        <v>0</v>
      </c>
      <c r="P735" s="49">
        <f t="shared" si="442"/>
        <v>0</v>
      </c>
      <c r="Q735" s="49">
        <v>0</v>
      </c>
      <c r="R735" s="49">
        <v>0</v>
      </c>
      <c r="S735" s="49">
        <v>0</v>
      </c>
      <c r="T735" s="49">
        <f t="shared" si="444"/>
        <v>0</v>
      </c>
      <c r="U735" s="49">
        <f t="shared" si="445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1"/>
        <v>0</v>
      </c>
      <c r="P736" s="47">
        <f t="shared" si="442"/>
        <v>0</v>
      </c>
      <c r="Q736" s="47">
        <v>0</v>
      </c>
      <c r="R736" s="47">
        <v>0</v>
      </c>
      <c r="S736" s="47">
        <v>0</v>
      </c>
      <c r="T736" s="47">
        <f t="shared" si="444"/>
        <v>0</v>
      </c>
      <c r="U736" s="47">
        <f t="shared" si="445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9"/>
      <c r="B740" s="140"/>
      <c r="C740" s="140"/>
      <c r="D740" s="140"/>
      <c r="E740" s="140"/>
      <c r="F740" s="492" t="s">
        <v>278</v>
      </c>
      <c r="G740" s="144"/>
      <c r="H740" s="134" t="s">
        <v>46</v>
      </c>
      <c r="I740" s="372">
        <f ca="1">IFERROR(__xludf.DUMMYFUNCTION("IMPORTRANGE(""https://docs.google.com/spreadsheets/d/1eHaY18a8A9IcSdp1K8H6x8fbOy06t2VsZHhMHf-1x7Y/edit?usp=sharing"",""แผน!GB79"")"),80)</f>
        <v>80</v>
      </c>
      <c r="J740" s="169">
        <v>80</v>
      </c>
      <c r="K740" s="47">
        <f ca="1">IF(I740&gt;0,J740*100/I740,0)</f>
        <v>100</v>
      </c>
      <c r="L740" s="591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9"/>
      <c r="B741" s="140"/>
      <c r="C741" s="140"/>
      <c r="D741" s="140"/>
      <c r="E741" s="140"/>
      <c r="F741" s="492" t="s">
        <v>279</v>
      </c>
      <c r="G741" s="144"/>
      <c r="H741" s="134" t="s">
        <v>35</v>
      </c>
      <c r="I741" s="45"/>
      <c r="J741" s="169">
        <v>8</v>
      </c>
      <c r="K741" s="46"/>
      <c r="L741" s="591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9"/>
      <c r="B742" s="140"/>
      <c r="C742" s="140"/>
      <c r="D742" s="140"/>
      <c r="E742" s="140"/>
      <c r="F742" s="492" t="s">
        <v>280</v>
      </c>
      <c r="G742" s="144"/>
      <c r="H742" s="134" t="s">
        <v>35</v>
      </c>
      <c r="I742" s="372">
        <f ca="1">IFERROR(__xludf.DUMMYFUNCTION("IMPORTRANGE(""https://docs.google.com/spreadsheets/d/1eHaY18a8A9IcSdp1K8H6x8fbOy06t2VsZHhMHf-1x7Y/edit?usp=sharing"",""แผน!GC79"")"),8)</f>
        <v>8</v>
      </c>
      <c r="J742" s="169">
        <v>8</v>
      </c>
      <c r="K742" s="47">
        <f ca="1">IF(I742&gt;0,J742*100/I742,0)</f>
        <v>100</v>
      </c>
      <c r="L742" s="591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9"/>
      <c r="B743" s="140"/>
      <c r="C743" s="140"/>
      <c r="D743" s="140"/>
      <c r="E743" s="492" t="s">
        <v>281</v>
      </c>
      <c r="F743" s="140"/>
      <c r="G743" s="144"/>
      <c r="H743" s="194"/>
      <c r="I743" s="45"/>
      <c r="J743" s="45"/>
      <c r="K743" s="46"/>
      <c r="L743" s="591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9"/>
      <c r="B744" s="140"/>
      <c r="C744" s="140"/>
      <c r="D744" s="140"/>
      <c r="E744" s="140"/>
      <c r="F744" s="492" t="s">
        <v>278</v>
      </c>
      <c r="G744" s="144"/>
      <c r="H744" s="134" t="s">
        <v>46</v>
      </c>
      <c r="I744" s="372">
        <f ca="1">IFERROR(__xludf.DUMMYFUNCTION("IMPORTRANGE(""https://docs.google.com/spreadsheets/d/1eHaY18a8A9IcSdp1K8H6x8fbOy06t2VsZHhMHf-1x7Y/edit?usp=sharing"",""แผน!GD79"")"),20)</f>
        <v>20</v>
      </c>
      <c r="J744" s="169">
        <v>20</v>
      </c>
      <c r="K744" s="47">
        <f ca="1">IF(I744&gt;0,J744*100/I744,0)</f>
        <v>100</v>
      </c>
      <c r="L744" s="591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9"/>
      <c r="B745" s="140"/>
      <c r="C745" s="140"/>
      <c r="D745" s="140"/>
      <c r="E745" s="140"/>
      <c r="F745" s="492" t="s">
        <v>282</v>
      </c>
      <c r="G745" s="144"/>
      <c r="H745" s="134" t="s">
        <v>35</v>
      </c>
      <c r="I745" s="45"/>
      <c r="J745" s="169">
        <v>2</v>
      </c>
      <c r="K745" s="46"/>
      <c r="L745" s="591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9"/>
      <c r="B746" s="140"/>
      <c r="C746" s="140"/>
      <c r="D746" s="140"/>
      <c r="E746" s="140"/>
      <c r="F746" s="492" t="s">
        <v>283</v>
      </c>
      <c r="G746" s="144"/>
      <c r="H746" s="134" t="s">
        <v>35</v>
      </c>
      <c r="I746" s="372">
        <f ca="1">IFERROR(__xludf.DUMMYFUNCTION("IMPORTRANGE(""https://docs.google.com/spreadsheets/d/1eHaY18a8A9IcSdp1K8H6x8fbOy06t2VsZHhMHf-1x7Y/edit?usp=sharing"",""แผน!GE79"")"),2)</f>
        <v>2</v>
      </c>
      <c r="J746" s="169">
        <v>2</v>
      </c>
      <c r="K746" s="47">
        <f ca="1">IF(I746&gt;0,J746*100/I746,0)</f>
        <v>100</v>
      </c>
      <c r="L746" s="591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9"/>
      <c r="B747" s="140"/>
      <c r="C747" s="140"/>
      <c r="D747" s="140"/>
      <c r="E747" s="492" t="s">
        <v>284</v>
      </c>
      <c r="F747" s="170"/>
      <c r="G747" s="144"/>
      <c r="H747" s="194"/>
      <c r="I747" s="45"/>
      <c r="J747" s="45"/>
      <c r="K747" s="46"/>
      <c r="L747" s="591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9"/>
      <c r="B748" s="140"/>
      <c r="C748" s="140"/>
      <c r="D748" s="140"/>
      <c r="E748" s="140"/>
      <c r="F748" s="492" t="s">
        <v>285</v>
      </c>
      <c r="G748" s="144"/>
      <c r="H748" s="134" t="s">
        <v>35</v>
      </c>
      <c r="I748" s="45"/>
      <c r="J748" s="169">
        <v>1</v>
      </c>
      <c r="K748" s="46"/>
      <c r="L748" s="591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9"/>
      <c r="B749" s="140"/>
      <c r="C749" s="140"/>
      <c r="D749" s="140"/>
      <c r="E749" s="140"/>
      <c r="F749" s="492" t="s">
        <v>286</v>
      </c>
      <c r="G749" s="144"/>
      <c r="H749" s="134" t="s">
        <v>35</v>
      </c>
      <c r="I749" s="372">
        <f ca="1">IFERROR(__xludf.DUMMYFUNCTION("IMPORTRANGE(""https://docs.google.com/spreadsheets/d/1eHaY18a8A9IcSdp1K8H6x8fbOy06t2VsZHhMHf-1x7Y/edit?usp=sharing"",""แผน!GF79"")"),1)</f>
        <v>1</v>
      </c>
      <c r="J749" s="169">
        <v>1</v>
      </c>
      <c r="K749" s="47">
        <f ca="1">IF(I749&gt;0,J749*100/I749,0)</f>
        <v>100</v>
      </c>
      <c r="L749" s="591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9"/>
      <c r="B750" s="140"/>
      <c r="C750" s="140"/>
      <c r="D750" s="522" t="s">
        <v>50</v>
      </c>
      <c r="E750" s="140"/>
      <c r="F750" s="170"/>
      <c r="G750" s="144"/>
      <c r="H750" s="194"/>
      <c r="I750" s="45"/>
      <c r="J750" s="45"/>
      <c r="K750" s="46"/>
      <c r="L750" s="591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9"/>
      <c r="B751" s="140"/>
      <c r="C751" s="140"/>
      <c r="D751" s="140"/>
      <c r="E751" s="492" t="s">
        <v>277</v>
      </c>
      <c r="F751" s="170"/>
      <c r="G751" s="144"/>
      <c r="H751" s="194"/>
      <c r="I751" s="45"/>
      <c r="J751" s="45"/>
      <c r="K751" s="46"/>
      <c r="L751" s="591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9"/>
      <c r="B752" s="140"/>
      <c r="C752" s="140"/>
      <c r="D752" s="140"/>
      <c r="E752" s="140"/>
      <c r="F752" s="303" t="s">
        <v>287</v>
      </c>
      <c r="G752" s="144"/>
      <c r="H752" s="134" t="s">
        <v>46</v>
      </c>
      <c r="I752" s="372">
        <f ca="1">IFERROR(__xludf.DUMMYFUNCTION("IMPORTRANGE(""https://docs.google.com/spreadsheets/d/1eHaY18a8A9IcSdp1K8H6x8fbOy06t2VsZHhMHf-1x7Y/edit?usp=sharing"",""แผน!GB79"")"),80)</f>
        <v>80</v>
      </c>
      <c r="J752" s="169">
        <v>80</v>
      </c>
      <c r="K752" s="47">
        <f ca="1">IF(I752&gt;0,J752*100/I752,0)</f>
        <v>100</v>
      </c>
      <c r="L752" s="591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9"/>
      <c r="B753" s="140"/>
      <c r="C753" s="140"/>
      <c r="D753" s="140"/>
      <c r="E753" s="140"/>
      <c r="F753" s="303" t="s">
        <v>288</v>
      </c>
      <c r="G753" s="144"/>
      <c r="H753" s="134" t="s">
        <v>46</v>
      </c>
      <c r="I753" s="45"/>
      <c r="J753" s="169">
        <v>80</v>
      </c>
      <c r="K753" s="46"/>
      <c r="L753" s="591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9"/>
      <c r="B754" s="140"/>
      <c r="C754" s="140"/>
      <c r="D754" s="140"/>
      <c r="E754" s="492" t="s">
        <v>281</v>
      </c>
      <c r="F754" s="170"/>
      <c r="G754" s="144"/>
      <c r="H754" s="194"/>
      <c r="I754" s="45"/>
      <c r="J754" s="45"/>
      <c r="K754" s="46"/>
      <c r="L754" s="591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9"/>
      <c r="B755" s="140"/>
      <c r="C755" s="140"/>
      <c r="D755" s="140"/>
      <c r="E755" s="170"/>
      <c r="F755" s="303" t="s">
        <v>289</v>
      </c>
      <c r="G755" s="144"/>
      <c r="H755" s="134" t="s">
        <v>46</v>
      </c>
      <c r="I755" s="372">
        <f ca="1">IFERROR(__xludf.DUMMYFUNCTION("IMPORTRANGE(""https://docs.google.com/spreadsheets/d/1eHaY18a8A9IcSdp1K8H6x8fbOy06t2VsZHhMHf-1x7Y/edit?usp=sharing"",""แผน!GD79"")"),20)</f>
        <v>20</v>
      </c>
      <c r="J755" s="169">
        <v>20</v>
      </c>
      <c r="K755" s="47">
        <f ca="1">IF(I755&gt;0,J755*100/I755,0)</f>
        <v>100</v>
      </c>
      <c r="L755" s="591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9"/>
      <c r="B756" s="140"/>
      <c r="C756" s="140"/>
      <c r="D756" s="140"/>
      <c r="E756" s="170"/>
      <c r="F756" s="303" t="s">
        <v>290</v>
      </c>
      <c r="G756" s="144"/>
      <c r="H756" s="134" t="s">
        <v>46</v>
      </c>
      <c r="I756" s="45"/>
      <c r="J756" s="169">
        <v>20</v>
      </c>
      <c r="K756" s="46"/>
      <c r="L756" s="591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hidden="1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2">I772</f>
        <v>0</v>
      </c>
      <c r="J758" s="504">
        <f t="shared" si="452"/>
        <v>0</v>
      </c>
      <c r="K758" s="505">
        <f t="shared" ref="K758:K759" ca="1" si="453">IF(I758&gt;0,J758*100/I758,0)</f>
        <v>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hidden="1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4">I774</f>
        <v>0</v>
      </c>
      <c r="J759" s="504">
        <f t="shared" si="454"/>
        <v>0</v>
      </c>
      <c r="K759" s="505">
        <f t="shared" ca="1" si="453"/>
        <v>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hidden="1" x14ac:dyDescent="0.3">
      <c r="A760" s="129"/>
      <c r="B760" s="160"/>
      <c r="C760" s="191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5">L761+L762</f>
        <v>0</v>
      </c>
      <c r="M760" s="133">
        <f t="shared" si="455"/>
        <v>0</v>
      </c>
      <c r="N760" s="133">
        <f t="shared" si="455"/>
        <v>0</v>
      </c>
      <c r="O760" s="133">
        <f t="shared" ref="O760:O768" si="456">IF(L760&gt;0,N760*100/L760,0)</f>
        <v>0</v>
      </c>
      <c r="P760" s="133">
        <f t="shared" ref="P760:P768" si="457">IF(M760&gt;0,N760*100/M760,0)</f>
        <v>0</v>
      </c>
      <c r="Q760" s="133">
        <f t="shared" ref="Q760:S760" ca="1" si="458">Q761+Q762</f>
        <v>0</v>
      </c>
      <c r="R760" s="133">
        <f t="shared" ca="1" si="458"/>
        <v>0</v>
      </c>
      <c r="S760" s="133">
        <f t="shared" ca="1" si="458"/>
        <v>0</v>
      </c>
      <c r="T760" s="133">
        <f t="shared" ref="T760:T768" ca="1" si="459">IF(Q760&gt;0,S760*100/Q760,0)</f>
        <v>0</v>
      </c>
      <c r="U760" s="133">
        <f t="shared" ref="U760:U768" ca="1" si="460">IF(R760&gt;0,S760*100/R760,0)</f>
        <v>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1">L764+L767</f>
        <v>0</v>
      </c>
      <c r="M761" s="49">
        <f t="shared" si="461"/>
        <v>0</v>
      </c>
      <c r="N761" s="49">
        <f t="shared" si="461"/>
        <v>0</v>
      </c>
      <c r="O761" s="49">
        <f t="shared" si="456"/>
        <v>0</v>
      </c>
      <c r="P761" s="49">
        <f t="shared" si="457"/>
        <v>0</v>
      </c>
      <c r="Q761" s="49">
        <f t="shared" ref="Q761:S762" si="462">Q764+Q767</f>
        <v>0</v>
      </c>
      <c r="R761" s="49">
        <f t="shared" si="462"/>
        <v>0</v>
      </c>
      <c r="S761" s="49">
        <f t="shared" si="462"/>
        <v>0</v>
      </c>
      <c r="T761" s="49">
        <f t="shared" si="459"/>
        <v>0</v>
      </c>
      <c r="U761" s="49">
        <f t="shared" si="460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1"/>
        <v>0</v>
      </c>
      <c r="M762" s="47">
        <f t="shared" si="461"/>
        <v>0</v>
      </c>
      <c r="N762" s="47">
        <f t="shared" si="461"/>
        <v>0</v>
      </c>
      <c r="O762" s="47">
        <f t="shared" si="456"/>
        <v>0</v>
      </c>
      <c r="P762" s="47">
        <f t="shared" si="457"/>
        <v>0</v>
      </c>
      <c r="Q762" s="47">
        <f t="shared" ca="1" si="462"/>
        <v>0</v>
      </c>
      <c r="R762" s="47">
        <f t="shared" ca="1" si="462"/>
        <v>0</v>
      </c>
      <c r="S762" s="47">
        <f t="shared" ca="1" si="462"/>
        <v>0</v>
      </c>
      <c r="T762" s="47">
        <f t="shared" ca="1" si="459"/>
        <v>0</v>
      </c>
      <c r="U762" s="47">
        <f t="shared" ca="1" si="460"/>
        <v>0</v>
      </c>
    </row>
    <row r="763" spans="1:21" ht="18.75" hidden="1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3">L764+L765</f>
        <v>0</v>
      </c>
      <c r="M763" s="47">
        <f t="shared" si="463"/>
        <v>0</v>
      </c>
      <c r="N763" s="47">
        <f t="shared" si="463"/>
        <v>0</v>
      </c>
      <c r="O763" s="47">
        <f t="shared" si="456"/>
        <v>0</v>
      </c>
      <c r="P763" s="47">
        <f t="shared" si="457"/>
        <v>0</v>
      </c>
      <c r="Q763" s="47">
        <f t="shared" ref="Q763:S763" ca="1" si="464">Q764+Q765</f>
        <v>0</v>
      </c>
      <c r="R763" s="47">
        <f t="shared" ca="1" si="464"/>
        <v>0</v>
      </c>
      <c r="S763" s="47">
        <f t="shared" ca="1" si="464"/>
        <v>0</v>
      </c>
      <c r="T763" s="47">
        <f t="shared" ca="1" si="459"/>
        <v>0</v>
      </c>
      <c r="U763" s="47">
        <f t="shared" ca="1" si="460"/>
        <v>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6"/>
        <v>0</v>
      </c>
      <c r="P764" s="49">
        <f t="shared" si="457"/>
        <v>0</v>
      </c>
      <c r="Q764" s="49">
        <v>0</v>
      </c>
      <c r="R764" s="49">
        <v>0</v>
      </c>
      <c r="S764" s="49">
        <v>0</v>
      </c>
      <c r="T764" s="49">
        <f t="shared" si="459"/>
        <v>0</v>
      </c>
      <c r="U764" s="49">
        <f t="shared" si="460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6"/>
        <v>0</v>
      </c>
      <c r="P765" s="47">
        <f t="shared" si="457"/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t="shared" ca="1" si="459"/>
        <v>0</v>
      </c>
      <c r="U765" s="47">
        <f t="shared" ca="1" si="460"/>
        <v>0</v>
      </c>
    </row>
    <row r="766" spans="1:21" ht="18.75" hidden="1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5">L767+L768</f>
        <v>0</v>
      </c>
      <c r="M766" s="47">
        <f t="shared" si="465"/>
        <v>0</v>
      </c>
      <c r="N766" s="47">
        <f t="shared" si="465"/>
        <v>0</v>
      </c>
      <c r="O766" s="47">
        <f t="shared" si="456"/>
        <v>0</v>
      </c>
      <c r="P766" s="47">
        <f t="shared" si="457"/>
        <v>0</v>
      </c>
      <c r="Q766" s="47">
        <f t="shared" ref="Q766:S766" si="466">Q767+Q768</f>
        <v>0</v>
      </c>
      <c r="R766" s="47">
        <f t="shared" si="466"/>
        <v>0</v>
      </c>
      <c r="S766" s="47">
        <f t="shared" si="466"/>
        <v>0</v>
      </c>
      <c r="T766" s="47">
        <f t="shared" si="459"/>
        <v>0</v>
      </c>
      <c r="U766" s="47">
        <f t="shared" si="460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6"/>
        <v>0</v>
      </c>
      <c r="P767" s="49">
        <f t="shared" si="457"/>
        <v>0</v>
      </c>
      <c r="Q767" s="49">
        <v>0</v>
      </c>
      <c r="R767" s="49">
        <v>0</v>
      </c>
      <c r="S767" s="49">
        <v>0</v>
      </c>
      <c r="T767" s="49">
        <f t="shared" si="459"/>
        <v>0</v>
      </c>
      <c r="U767" s="49">
        <f t="shared" si="460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6"/>
        <v>0</v>
      </c>
      <c r="P768" s="47">
        <f t="shared" si="457"/>
        <v>0</v>
      </c>
      <c r="Q768" s="47">
        <v>0</v>
      </c>
      <c r="R768" s="47">
        <v>0</v>
      </c>
      <c r="S768" s="47">
        <v>0</v>
      </c>
      <c r="T768" s="47">
        <f t="shared" si="459"/>
        <v>0</v>
      </c>
      <c r="U768" s="47">
        <f t="shared" si="460"/>
        <v>0</v>
      </c>
    </row>
    <row r="769" spans="1:21" ht="19.5" hidden="1" x14ac:dyDescent="0.3">
      <c r="A769" s="139"/>
      <c r="B769" s="140"/>
      <c r="C769" s="525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IFERROR(__xludf.DUMMYFUNCTION("IMPORTRANGE(""https://docs.google.com/spreadsheets/d/1eHaY18a8A9IcSdp1K8H6x8fbOy06t2VsZHhMHf-1x7Y/edit?usp=sharing"",""แผน!FI79"")"),2)</f>
        <v>2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IFERROR(__xludf.DUMMYFUNCTION("IMPORTRANGE(""https://docs.google.com/spreadsheets/d/1eHaY18a8A9IcSdp1K8H6x8fbOy06t2VsZHhMHf-1x7Y/edit?usp=sharing"",""แผน!FQ79"")"),0)</f>
        <v>0</v>
      </c>
      <c r="J772" s="169">
        <v>0</v>
      </c>
      <c r="K772" s="47">
        <f ca="1">IF(I772&gt;0,J772*100/I772,0)</f>
        <v>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IFERROR(__xludf.DUMMYFUNCTION("IMPORTRANGE(""https://docs.google.com/spreadsheets/d/1eHaY18a8A9IcSdp1K8H6x8fbOy06t2VsZHhMHf-1x7Y/edit?usp=sharing"",""แผน!FR79"")"),0)</f>
        <v>0</v>
      </c>
      <c r="J774" s="169">
        <v>0</v>
      </c>
      <c r="K774" s="47">
        <f ca="1">IF(I774&gt;0,J774*100/I774,0)</f>
        <v>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IFERROR(__xludf.DUMMYFUNCTION("IMPORTRANGE(""https://docs.google.com/spreadsheets/d/1eHaY18a8A9IcSdp1K8H6x8fbOy06t2VsZHhMHf-1x7Y/edit?usp=sharing"",""แผน!FS79"")"),0)</f>
        <v>0</v>
      </c>
      <c r="J775" s="169">
        <v>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IFERROR(__xludf.DUMMYFUNCTION("IMPORTRANGE(""https://docs.google.com/spreadsheets/d/1eHaY18a8A9IcSdp1K8H6x8fbOy06t2VsZHhMHf-1x7Y/edit?usp=sharing"",""แผน!FT79"")"),0)</f>
        <v>0</v>
      </c>
      <c r="J776" s="378">
        <v>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372">
        <f ca="1">IFERROR(__xludf.DUMMYFUNCTION("IMPORTRANGE(""https://docs.google.com/spreadsheets/d/10OvvATaaLtwErnr3qtWFcTmtbfpFEt5Bsqel9sXx0uE/edit?usp=sharing"",""งานกองทุน!F79"")"),349811.54)</f>
        <v>349811.54</v>
      </c>
      <c r="K778" s="47">
        <f t="shared" ref="K778:K785" ca="1" si="467">IF(I778&gt;0,J778*100/I778,0)</f>
        <v>117.68124197317952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IFERROR(__xludf.DUMMYFUNCTION("IMPORTRANGE(""https://docs.google.com/spreadsheets/d/10OvvATaaLtwErnr3qtWFcTmtbfpFEt5Bsqel9sXx0uE/edit?usp=sharing"",""งานกองทุน!C79"")"),25)</f>
        <v>25</v>
      </c>
      <c r="J779" s="372">
        <f ca="1">IFERROR(__xludf.DUMMYFUNCTION("IMPORTRANGE(""https://docs.google.com/spreadsheets/d/10OvvATaaLtwErnr3qtWFcTmtbfpFEt5Bsqel9sXx0uE/edit?usp=sharing"",""งานกองทุน!E79"")"),37)</f>
        <v>37</v>
      </c>
      <c r="K779" s="47">
        <f t="shared" ca="1" si="467"/>
        <v>148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IFERROR(__xludf.DUMMYFUNCTION("IMPORTRANGE(""https://docs.google.com/spreadsheets/d/10OvvATaaLtwErnr3qtWFcTmtbfpFEt5Bsqel9sXx0uE/edit?usp=sharing"",""งานกองทุน!I79"")"),207270.9)</f>
        <v>207270.9</v>
      </c>
      <c r="J780" s="372">
        <f ca="1">IFERROR(__xludf.DUMMYFUNCTION("IMPORTRANGE(""https://docs.google.com/spreadsheets/d/10OvvATaaLtwErnr3qtWFcTmtbfpFEt5Bsqel9sXx0uE/edit?usp=sharing"",""งานกองทุน!K79"")"),46117.91)</f>
        <v>46117.91</v>
      </c>
      <c r="K780" s="47">
        <f t="shared" ca="1" si="467"/>
        <v>22.250065011538041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IFERROR(__xludf.DUMMYFUNCTION("IMPORTRANGE(""https://docs.google.com/spreadsheets/d/10OvvATaaLtwErnr3qtWFcTmtbfpFEt5Bsqel9sXx0uE/edit?usp=sharing"",""งานกองทุน!H79"")"),7)</f>
        <v>7</v>
      </c>
      <c r="J781" s="372">
        <f ca="1">IFERROR(__xludf.DUMMYFUNCTION("IMPORTRANGE(""https://docs.google.com/spreadsheets/d/10OvvATaaLtwErnr3qtWFcTmtbfpFEt5Bsqel9sXx0uE/edit?usp=sharing"",""งานกองทุน!J79"")"),7)</f>
        <v>7</v>
      </c>
      <c r="K781" s="47">
        <f t="shared" ca="1" si="467"/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IFERROR(__xludf.DUMMYFUNCTION("IMPORTRANGE(""https://docs.google.com/spreadsheets/d/10OvvATaaLtwErnr3qtWFcTmtbfpFEt5Bsqel9sXx0uE/edit?usp=sharing"",""งานกองทุน!N79"")"),66544.33)</f>
        <v>66544.33</v>
      </c>
      <c r="J782" s="372">
        <f ca="1">IFERROR(__xludf.DUMMYFUNCTION("IMPORTRANGE(""https://docs.google.com/spreadsheets/d/10OvvATaaLtwErnr3qtWFcTmtbfpFEt5Bsqel9sXx0uE/edit?usp=sharing"",""งานกองทุน!P79"")"),39355.85)</f>
        <v>39355.85</v>
      </c>
      <c r="K782" s="47">
        <f t="shared" ca="1" si="467"/>
        <v>59.142304085111384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IFERROR(__xludf.DUMMYFUNCTION("IMPORTRANGE(""https://docs.google.com/spreadsheets/d/10OvvATaaLtwErnr3qtWFcTmtbfpFEt5Bsqel9sXx0uE/edit?usp=sharing"",""งานกองทุน!M79"")"),151)</f>
        <v>151</v>
      </c>
      <c r="J783" s="372">
        <f ca="1">IFERROR(__xludf.DUMMYFUNCTION("IMPORTRANGE(""https://docs.google.com/spreadsheets/d/10OvvATaaLtwErnr3qtWFcTmtbfpFEt5Bsqel9sXx0uE/edit?usp=sharing"",""งานกองทุน!O79"")"),43)</f>
        <v>43</v>
      </c>
      <c r="K783" s="47">
        <f t="shared" ca="1" si="467"/>
        <v>28.476821192052981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IFERROR(__xludf.DUMMYFUNCTION("IMPORTRANGE(""https://docs.google.com/spreadsheets/d/10OvvATaaLtwErnr3qtWFcTmtbfpFEt5Bsqel9sXx0uE/edit?usp=sharing"",""งานกองทุน!S79"")"),392000)</f>
        <v>392000</v>
      </c>
      <c r="J784" s="372">
        <f ca="1">IFERROR(__xludf.DUMMYFUNCTION("IMPORTRANGE(""https://docs.google.com/spreadsheets/d/10OvvATaaLtwErnr3qtWFcTmtbfpFEt5Bsqel9sXx0uE/edit?usp=sharing"",""งานกองทุน!U79"")"),392000)</f>
        <v>392000</v>
      </c>
      <c r="K784" s="47">
        <f t="shared" ca="1" si="467"/>
        <v>100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IFERROR(__xludf.DUMMYFUNCTION("IMPORTRANGE(""https://docs.google.com/spreadsheets/d/10OvvATaaLtwErnr3qtWFcTmtbfpFEt5Bsqel9sXx0uE/edit?usp=sharing"",""งานกองทุน!R79"")"),14)</f>
        <v>14</v>
      </c>
      <c r="J785" s="205">
        <f ca="1">IFERROR(__xludf.DUMMYFUNCTION("IMPORTRANGE(""https://docs.google.com/spreadsheets/d/10OvvATaaLtwErnr3qtWFcTmtbfpFEt5Bsqel9sXx0uE/edit?usp=sharing"",""งานกองทุน!T79"")"),15)</f>
        <v>15</v>
      </c>
      <c r="K785" s="111">
        <f t="shared" ca="1" si="467"/>
        <v>107.14285714285714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3C6C-BE12-47EC-B499-9F018DC938DC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325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4539797</v>
      </c>
      <c r="M18" s="35">
        <f t="shared" ca="1" si="0"/>
        <v>4368965.2300000004</v>
      </c>
      <c r="N18" s="35">
        <f t="shared" ca="1" si="0"/>
        <v>4134305.04</v>
      </c>
      <c r="O18" s="35">
        <f t="shared" ref="O18:O26" ca="1" si="1">IF(L18&gt;0,N18*100/L18,0)</f>
        <v>91.068059651125367</v>
      </c>
      <c r="P18" s="35">
        <f t="shared" ref="P18:P26" ca="1" si="2">IF(M18&gt;0,N18*100/M18,0)</f>
        <v>94.628929788942258</v>
      </c>
      <c r="Q18" s="35">
        <f t="shared" ref="Q18:S18" ca="1" si="3">Q19+Q20</f>
        <v>643827.99</v>
      </c>
      <c r="R18" s="35">
        <f t="shared" ca="1" si="3"/>
        <v>688028</v>
      </c>
      <c r="S18" s="35">
        <f t="shared" ca="1" si="3"/>
        <v>582148</v>
      </c>
      <c r="T18" s="35">
        <f t="shared" ref="T18:T26" ca="1" si="4">IF(Q18&gt;0,S18*100/Q18,0)</f>
        <v>90.419802966317135</v>
      </c>
      <c r="U18" s="35">
        <f t="shared" ref="U18:U26" ca="1" si="5">IF(R18&gt;0,S18*100/R18,0)</f>
        <v>84.611091409070568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4539797</v>
      </c>
      <c r="M20" s="39">
        <f t="shared" ca="1" si="6"/>
        <v>4368965.2300000004</v>
      </c>
      <c r="N20" s="39">
        <f t="shared" ca="1" si="6"/>
        <v>4134305.04</v>
      </c>
      <c r="O20" s="39">
        <f t="shared" ca="1" si="1"/>
        <v>91.068059651125367</v>
      </c>
      <c r="P20" s="39">
        <f t="shared" ca="1" si="2"/>
        <v>94.628929788942258</v>
      </c>
      <c r="Q20" s="39">
        <f t="shared" ca="1" si="7"/>
        <v>643827.99</v>
      </c>
      <c r="R20" s="39">
        <f t="shared" ca="1" si="7"/>
        <v>688028</v>
      </c>
      <c r="S20" s="39">
        <f t="shared" ca="1" si="7"/>
        <v>582148</v>
      </c>
      <c r="T20" s="39">
        <f t="shared" ca="1" si="4"/>
        <v>90.419802966317135</v>
      </c>
      <c r="U20" s="39">
        <f t="shared" ca="1" si="5"/>
        <v>84.611091409070568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2203297</v>
      </c>
      <c r="M21" s="47">
        <f t="shared" ca="1" si="8"/>
        <v>2326365.23</v>
      </c>
      <c r="N21" s="47">
        <f t="shared" ca="1" si="8"/>
        <v>2091705.04</v>
      </c>
      <c r="O21" s="47">
        <f t="shared" ca="1" si="1"/>
        <v>94.935228432662512</v>
      </c>
      <c r="P21" s="47">
        <f t="shared" ca="1" si="2"/>
        <v>89.913011638331611</v>
      </c>
      <c r="Q21" s="47">
        <f t="shared" ref="Q21:S21" ca="1" si="9">Q22+Q23</f>
        <v>643827.99</v>
      </c>
      <c r="R21" s="47">
        <f t="shared" ca="1" si="9"/>
        <v>688028</v>
      </c>
      <c r="S21" s="47">
        <f t="shared" ca="1" si="9"/>
        <v>582148</v>
      </c>
      <c r="T21" s="47">
        <f t="shared" ca="1" si="4"/>
        <v>90.419802966317135</v>
      </c>
      <c r="U21" s="47">
        <f t="shared" ca="1" si="5"/>
        <v>84.611091409070568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2203297</v>
      </c>
      <c r="M23" s="47">
        <f t="shared" ca="1" si="12"/>
        <v>2326365.23</v>
      </c>
      <c r="N23" s="47">
        <f t="shared" ca="1" si="12"/>
        <v>2091705.04</v>
      </c>
      <c r="O23" s="47">
        <f t="shared" ca="1" si="1"/>
        <v>94.935228432662512</v>
      </c>
      <c r="P23" s="47">
        <f t="shared" ca="1" si="2"/>
        <v>89.913011638331611</v>
      </c>
      <c r="Q23" s="47">
        <f t="shared" ca="1" si="11"/>
        <v>643827.99</v>
      </c>
      <c r="R23" s="47">
        <f t="shared" ca="1" si="11"/>
        <v>688028</v>
      </c>
      <c r="S23" s="47">
        <f t="shared" ca="1" si="11"/>
        <v>582148</v>
      </c>
      <c r="T23" s="47">
        <f t="shared" ca="1" si="4"/>
        <v>90.419802966317135</v>
      </c>
      <c r="U23" s="47">
        <f t="shared" ca="1" si="5"/>
        <v>84.611091409070568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2336500</v>
      </c>
      <c r="M24" s="47">
        <f t="shared" ca="1" si="13"/>
        <v>2042600</v>
      </c>
      <c r="N24" s="47">
        <f t="shared" ca="1" si="13"/>
        <v>2042600</v>
      </c>
      <c r="O24" s="47">
        <f t="shared" ca="1" si="1"/>
        <v>87.421356730151942</v>
      </c>
      <c r="P24" s="47">
        <f t="shared" ca="1" si="2"/>
        <v>100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2336500</v>
      </c>
      <c r="M26" s="47">
        <f t="shared" ca="1" si="17"/>
        <v>2042600</v>
      </c>
      <c r="N26" s="47">
        <f t="shared" ca="1" si="17"/>
        <v>2042600</v>
      </c>
      <c r="O26" s="47">
        <f t="shared" ca="1" si="1"/>
        <v>87.421356730151942</v>
      </c>
      <c r="P26" s="47">
        <f t="shared" ca="1" si="2"/>
        <v>100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4494697</v>
      </c>
      <c r="M40" s="594">
        <f t="shared" ca="1" si="18"/>
        <v>4293125.2300000004</v>
      </c>
      <c r="N40" s="594">
        <f t="shared" ca="1" si="18"/>
        <v>4101176.04</v>
      </c>
      <c r="O40" s="594">
        <f ca="1">IF(L40&gt;0,N40*100/L40,0)</f>
        <v>91.244772228250312</v>
      </c>
      <c r="P40" s="594">
        <f ca="1">IF(M40&gt;0,N40*100/M40,0)</f>
        <v>95.528917054208534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427907</v>
      </c>
      <c r="M44" s="79">
        <f t="shared" ca="1" si="19"/>
        <v>380395.23</v>
      </c>
      <c r="N44" s="79">
        <f t="shared" ca="1" si="19"/>
        <v>355745.23</v>
      </c>
      <c r="O44" s="79">
        <f t="shared" ref="O44:O52" ca="1" si="20">IF(L44&gt;0,N44*100/L44,0)</f>
        <v>83.136109014341898</v>
      </c>
      <c r="P44" s="79">
        <f t="shared" ref="P44:P52" ca="1" si="21">IF(M44&gt;0,N44*100/M44,0)</f>
        <v>93.519897712702658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427907</v>
      </c>
      <c r="M46" s="83">
        <f t="shared" ca="1" si="25"/>
        <v>380395.23</v>
      </c>
      <c r="N46" s="83">
        <f t="shared" ca="1" si="25"/>
        <v>355745.23</v>
      </c>
      <c r="O46" s="83">
        <f t="shared" ca="1" si="20"/>
        <v>83.136109014341898</v>
      </c>
      <c r="P46" s="83">
        <f t="shared" ca="1" si="21"/>
        <v>93.519897712702658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427907</v>
      </c>
      <c r="M47" s="47">
        <f t="shared" ca="1" si="27"/>
        <v>380395.23</v>
      </c>
      <c r="N47" s="47">
        <f t="shared" ca="1" si="27"/>
        <v>355745.23</v>
      </c>
      <c r="O47" s="47">
        <f t="shared" ca="1" si="20"/>
        <v>83.136109014341898</v>
      </c>
      <c r="P47" s="47">
        <f t="shared" ca="1" si="21"/>
        <v>93.519897712702658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IFERROR(__xludf.DUMMYFUNCTION("IMPORTRANGE(""https://docs.google.com/spreadsheets/d/1-uDff_7J0KD5mKrp0Vvzr7lt3OU09vwQwhkpOPPYv2Y/edit?usp=sharing"",""งบพรบ!V80"")"),380395.23)</f>
        <v>380395.23</v>
      </c>
      <c r="N49" s="47">
        <f ca="1">IFERROR(__xludf.DUMMYFUNCTION("IMPORTRANGE(""https://docs.google.com/spreadsheets/d/1-uDff_7J0KD5mKrp0Vvzr7lt3OU09vwQwhkpOPPYv2Y/edit?usp=sharing"",""งบพรบ!Y80"")"),355745.23)</f>
        <v>355745.23</v>
      </c>
      <c r="O49" s="47">
        <f t="shared" ca="1" si="20"/>
        <v>83.136109014341898</v>
      </c>
      <c r="P49" s="47">
        <f t="shared" ca="1" si="21"/>
        <v>93.519897712702658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2565500</v>
      </c>
      <c r="M59" s="106">
        <f t="shared" ca="1" si="31"/>
        <v>2347100</v>
      </c>
      <c r="N59" s="106">
        <f t="shared" ca="1" si="31"/>
        <v>2292667.1</v>
      </c>
      <c r="O59" s="106">
        <f t="shared" ref="O59:O67" ca="1" si="32">IF(L59&gt;0,N59*100/L59,0)</f>
        <v>89.365312804521537</v>
      </c>
      <c r="P59" s="106">
        <f t="shared" ref="P59:P67" ca="1" si="33">IF(M59&gt;0,N59*100/M59,0)</f>
        <v>97.680844446338028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2565500</v>
      </c>
      <c r="M61" s="109">
        <f t="shared" ca="1" si="37"/>
        <v>2347100</v>
      </c>
      <c r="N61" s="109">
        <f t="shared" ca="1" si="37"/>
        <v>2292667.1</v>
      </c>
      <c r="O61" s="109">
        <f t="shared" ca="1" si="32"/>
        <v>89.365312804521537</v>
      </c>
      <c r="P61" s="109">
        <f t="shared" ca="1" si="33"/>
        <v>97.680844446338028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580900</v>
      </c>
      <c r="M62" s="47">
        <f t="shared" ca="1" si="39"/>
        <v>599500</v>
      </c>
      <c r="N62" s="47">
        <f t="shared" ca="1" si="39"/>
        <v>545067.1</v>
      </c>
      <c r="O62" s="47">
        <f t="shared" ca="1" si="32"/>
        <v>93.831485625753146</v>
      </c>
      <c r="P62" s="47">
        <f t="shared" ca="1" si="33"/>
        <v>90.92028356964137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IFERROR(__xludf.DUMMYFUNCTION("IMPORTRANGE(""https://docs.google.com/spreadsheets/d/1-uDff_7J0KD5mKrp0Vvzr7lt3OU09vwQwhkpOPPYv2Y/edit?usp=sharing"",""งบพรบ!AH80"")"),599500)</f>
        <v>599500</v>
      </c>
      <c r="N64" s="47">
        <f ca="1">IFERROR(__xludf.DUMMYFUNCTION("IMPORTRANGE(""https://docs.google.com/spreadsheets/d/1-uDff_7J0KD5mKrp0Vvzr7lt3OU09vwQwhkpOPPYv2Y/edit?usp=sharing"",""งบพรบ!AJ80"")"),545067.1)</f>
        <v>545067.1</v>
      </c>
      <c r="O64" s="47">
        <f t="shared" ca="1" si="32"/>
        <v>93.831485625753146</v>
      </c>
      <c r="P64" s="47">
        <f t="shared" ca="1" si="33"/>
        <v>90.92028356964137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1984600</v>
      </c>
      <c r="M65" s="47">
        <f t="shared" ca="1" si="41"/>
        <v>1747600</v>
      </c>
      <c r="N65" s="47">
        <f t="shared" ca="1" si="41"/>
        <v>1747600</v>
      </c>
      <c r="O65" s="47">
        <f t="shared" ca="1" si="32"/>
        <v>88.058046961604347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IFERROR(__xludf.DUMMYFUNCTION("IMPORTRANGE(""https://docs.google.com/spreadsheets/d/1-uDff_7J0KD5mKrp0Vvzr7lt3OU09vwQwhkpOPPYv2Y/edit?usp=sharing"",""งบพรบ!AI80"")"),1747600)</f>
        <v>1747600</v>
      </c>
      <c r="N67" s="111">
        <f ca="1">IFERROR(__xludf.DUMMYFUNCTION("IMPORTRANGE(""https://docs.google.com/spreadsheets/d/1-uDff_7J0KD5mKrp0Vvzr7lt3OU09vwQwhkpOPPYv2Y/edit?usp=sharing"",""งบพรบ!AK80"")"),1747600)</f>
        <v>1747600</v>
      </c>
      <c r="O67" s="111">
        <f t="shared" ca="1" si="32"/>
        <v>88.058046961604347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IFERROR(__xludf.DUMMYFUNCTION("IMPORTRANGE(""https://docs.google.com/spreadsheets/d/1eHaY18a8A9IcSdp1K8H6x8fbOy06t2VsZHhMHf-1x7Y/edit?usp=sharing"",""แผน!H80"")"),0)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IFERROR(__xludf.DUMMYFUNCTION("IMPORTRANGE(""https://docs.google.com/spreadsheets/d/1eHaY18a8A9IcSdp1K8H6x8fbOy06t2VsZHhMHf-1x7Y/edit?usp=sharing"",""แผน!I80"")"),0)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IFERROR(__xludf.DUMMYFUNCTION("IMPORTRANGE(""https://docs.google.com/spreadsheets/d/1eHaY18a8A9IcSdp1K8H6x8fbOy06t2VsZHhMHf-1x7Y/edit?usp=sharing"",""แผน!F80"")"),0)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IFERROR(__xludf.DUMMYFUNCTION("IMPORTRANGE(""https://docs.google.com/spreadsheets/d/1eHaY18a8A9IcSdp1K8H6x8fbOy06t2VsZHhMHf-1x7Y/edit?usp=sharing"",""แผน!G80"")"),0)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IFERROR(__xludf.DUMMYFUNCTION("IMPORTRANGE(""https://docs.google.com/spreadsheets/d/1eHaY18a8A9IcSdp1K8H6x8fbOy06t2VsZHhMHf-1x7Y/edit?usp=sharing"",""แผน!D80"")"),0)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IFERROR(__xludf.DUMMYFUNCTION("IMPORTRANGE(""https://docs.google.com/spreadsheets/d/1eHaY18a8A9IcSdp1K8H6x8fbOy06t2VsZHhMHf-1x7Y/edit?usp=sharing"",""แผน!E80"")"),0)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IFERROR(__xludf.DUMMYFUNCTION("IMPORTRANGE(""https://docs.google.com/spreadsheets/d/1eHaY18a8A9IcSdp1K8H6x8fbOy06t2VsZHhMHf-1x7Y/edit?usp=sharing"",""แผน!J80"")"),0)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0</v>
      </c>
      <c r="J92" s="128">
        <f t="shared" si="59"/>
        <v>0</v>
      </c>
      <c r="K92" s="35">
        <f t="shared" ref="K92:K93" ca="1" si="60">IF(I92&gt;0,J92*100/I92,0)</f>
        <v>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0</v>
      </c>
      <c r="J93" s="128">
        <f t="shared" si="59"/>
        <v>0</v>
      </c>
      <c r="K93" s="35">
        <f t="shared" ca="1" si="60"/>
        <v>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9"/>
      <c r="B94" s="200"/>
      <c r="C94" s="19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0</v>
      </c>
      <c r="M94" s="133">
        <f t="shared" ca="1" si="61"/>
        <v>0</v>
      </c>
      <c r="N94" s="133">
        <f t="shared" ca="1" si="61"/>
        <v>0</v>
      </c>
      <c r="O94" s="133">
        <f t="shared" ref="O94:O102" ca="1" si="62">IF(L94&gt;0,N94*100/L94,0)</f>
        <v>0</v>
      </c>
      <c r="P94" s="133">
        <f t="shared" ref="P94:P102" ca="1" si="63">IF(M94&gt;0,N94*100/M94,0)</f>
        <v>0</v>
      </c>
      <c r="Q94" s="133">
        <f t="shared" ref="Q94:S94" ca="1" si="64">Q95+Q96</f>
        <v>0</v>
      </c>
      <c r="R94" s="133">
        <f t="shared" ca="1" si="64"/>
        <v>0</v>
      </c>
      <c r="S94" s="133">
        <f t="shared" ca="1" si="64"/>
        <v>0</v>
      </c>
      <c r="T94" s="133">
        <f t="shared" ref="T94:T102" ca="1" si="65">IF(Q94&gt;0,S94*100/Q94,0)</f>
        <v>0</v>
      </c>
      <c r="U94" s="133">
        <f t="shared" ref="U94:U102" ca="1" si="66">IF(R94&gt;0,S94*100/R94,0)</f>
        <v>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0</v>
      </c>
      <c r="M96" s="47">
        <f t="shared" ca="1" si="67"/>
        <v>0</v>
      </c>
      <c r="N96" s="47">
        <f t="shared" ca="1" si="67"/>
        <v>0</v>
      </c>
      <c r="O96" s="47">
        <f t="shared" ca="1" si="62"/>
        <v>0</v>
      </c>
      <c r="P96" s="47">
        <f t="shared" ca="1" si="63"/>
        <v>0</v>
      </c>
      <c r="Q96" s="47">
        <f t="shared" ca="1" si="68"/>
        <v>0</v>
      </c>
      <c r="R96" s="47">
        <f t="shared" ca="1" si="68"/>
        <v>0</v>
      </c>
      <c r="S96" s="47">
        <f t="shared" ca="1" si="68"/>
        <v>0</v>
      </c>
      <c r="T96" s="47">
        <f t="shared" ca="1" si="65"/>
        <v>0</v>
      </c>
      <c r="U96" s="47">
        <f t="shared" ca="1" si="66"/>
        <v>0</v>
      </c>
    </row>
    <row r="97" spans="1:21" ht="18.75" hidden="1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0</v>
      </c>
      <c r="M97" s="47">
        <f t="shared" ca="1" si="69"/>
        <v>0</v>
      </c>
      <c r="N97" s="47">
        <f t="shared" ca="1" si="69"/>
        <v>0</v>
      </c>
      <c r="O97" s="47">
        <f t="shared" ca="1" si="62"/>
        <v>0</v>
      </c>
      <c r="P97" s="47">
        <f t="shared" ca="1" si="63"/>
        <v>0</v>
      </c>
      <c r="Q97" s="47">
        <f t="shared" ref="Q97:S97" ca="1" si="70">Q98+Q99</f>
        <v>0</v>
      </c>
      <c r="R97" s="47">
        <f t="shared" ca="1" si="70"/>
        <v>0</v>
      </c>
      <c r="S97" s="47">
        <f t="shared" ca="1" si="70"/>
        <v>0</v>
      </c>
      <c r="T97" s="47">
        <f t="shared" ca="1" si="65"/>
        <v>0</v>
      </c>
      <c r="U97" s="47">
        <f t="shared" ca="1" si="66"/>
        <v>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t="shared" ca="1" si="62"/>
        <v>0</v>
      </c>
      <c r="P99" s="47">
        <f t="shared" ca="1" si="63"/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t="shared" ca="1" si="65"/>
        <v>0</v>
      </c>
      <c r="U99" s="47">
        <f t="shared" ca="1" si="66"/>
        <v>0</v>
      </c>
    </row>
    <row r="100" spans="1:21" ht="18.75" hidden="1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hidden="1" x14ac:dyDescent="0.3">
      <c r="A103" s="139"/>
      <c r="B103" s="140"/>
      <c r="C103" s="19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hidden="1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IFERROR(__xludf.DUMMYFUNCTION("IMPORTRANGE(""https://docs.google.com/spreadsheets/d/1eHaY18a8A9IcSdp1K8H6x8fbOy06t2VsZHhMHf-1x7Y/edit?usp=sharing"",""แผน!N80"")"),0)</f>
        <v>0</v>
      </c>
      <c r="J108" s="169">
        <v>0</v>
      </c>
      <c r="K108" s="47">
        <f t="shared" ref="K108:K109" ca="1" si="73">IF(I108&gt;0,J108*100/I108,0)</f>
        <v>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hidden="1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IFERROR(__xludf.DUMMYFUNCTION("IMPORTRANGE(""https://docs.google.com/spreadsheets/d/1eHaY18a8A9IcSdp1K8H6x8fbOy06t2VsZHhMHf-1x7Y/edit?usp=sharing"",""แผน!O80"")"),0)</f>
        <v>0</v>
      </c>
      <c r="J109" s="169">
        <v>0</v>
      </c>
      <c r="K109" s="47">
        <f t="shared" ca="1" si="73"/>
        <v>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4"/>
      <c r="B113" s="165"/>
      <c r="C113" s="165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58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9"/>
      <c r="B114" s="140"/>
      <c r="C114" s="140"/>
      <c r="D114" s="303" t="s">
        <v>50</v>
      </c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IFERROR(__xludf.DUMMYFUNCTION("IMPORTRANGE(""https://docs.google.com/spreadsheets/d/1eHaY18a8A9IcSdp1K8H6x8fbOy06t2VsZHhMHf-1x7Y/edit?usp=sharing"",""แผน!R80"")"),0)</f>
        <v>0</v>
      </c>
      <c r="J114" s="169">
        <v>0</v>
      </c>
      <c r="K114" s="47">
        <f ca="1">IF(I114&gt;0,J114*100/I114,0)</f>
        <v>0</v>
      </c>
      <c r="L114" s="591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4">I127</f>
        <v>10</v>
      </c>
      <c r="J116" s="128">
        <f t="shared" si="74"/>
        <v>10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5">L118+L119</f>
        <v>351900</v>
      </c>
      <c r="M117" s="133">
        <f t="shared" ca="1" si="75"/>
        <v>325740</v>
      </c>
      <c r="N117" s="133">
        <f t="shared" ca="1" si="75"/>
        <v>295000</v>
      </c>
      <c r="O117" s="133">
        <f t="shared" ref="O117:O125" ca="1" si="76">IF(L117&gt;0,N117*100/L117,0)</f>
        <v>83.830633702756458</v>
      </c>
      <c r="P117" s="133">
        <f t="shared" ref="P117:P125" ca="1" si="77">IF(M117&gt;0,N117*100/M117,0)</f>
        <v>90.563025726039172</v>
      </c>
      <c r="Q117" s="133">
        <f t="shared" ref="Q117:S117" ca="1" si="78">Q118+Q119</f>
        <v>173660</v>
      </c>
      <c r="R117" s="133">
        <f t="shared" ca="1" si="78"/>
        <v>173660</v>
      </c>
      <c r="S117" s="133">
        <f t="shared" ca="1" si="78"/>
        <v>159280</v>
      </c>
      <c r="T117" s="133">
        <f t="shared" ref="T117:T125" ca="1" si="79">IF(Q117&gt;0,S117*100/Q117,0)</f>
        <v>91.719451802372447</v>
      </c>
      <c r="U117" s="133">
        <f t="shared" ref="U117:U125" ca="1" si="80">IF(R117&gt;0,S117*100/R117,0)</f>
        <v>91.719451802372447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1">L121+L124</f>
        <v>0</v>
      </c>
      <c r="M118" s="49">
        <f t="shared" si="81"/>
        <v>0</v>
      </c>
      <c r="N118" s="49">
        <f t="shared" si="81"/>
        <v>0</v>
      </c>
      <c r="O118" s="49">
        <f t="shared" si="76"/>
        <v>0</v>
      </c>
      <c r="P118" s="49">
        <f t="shared" si="77"/>
        <v>0</v>
      </c>
      <c r="Q118" s="49">
        <f t="shared" ref="Q118:S119" si="82">Q121+Q124</f>
        <v>0</v>
      </c>
      <c r="R118" s="49">
        <f t="shared" si="82"/>
        <v>0</v>
      </c>
      <c r="S118" s="49">
        <f t="shared" si="82"/>
        <v>0</v>
      </c>
      <c r="T118" s="49">
        <f t="shared" si="79"/>
        <v>0</v>
      </c>
      <c r="U118" s="49">
        <f t="shared" si="80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1"/>
        <v>351900</v>
      </c>
      <c r="M119" s="47">
        <f t="shared" ca="1" si="81"/>
        <v>325740</v>
      </c>
      <c r="N119" s="47">
        <f t="shared" ca="1" si="81"/>
        <v>295000</v>
      </c>
      <c r="O119" s="47">
        <f t="shared" ca="1" si="76"/>
        <v>83.830633702756458</v>
      </c>
      <c r="P119" s="47">
        <f t="shared" ca="1" si="77"/>
        <v>90.563025726039172</v>
      </c>
      <c r="Q119" s="47">
        <f t="shared" ca="1" si="82"/>
        <v>173660</v>
      </c>
      <c r="R119" s="47">
        <f t="shared" ca="1" si="82"/>
        <v>173660</v>
      </c>
      <c r="S119" s="47">
        <f t="shared" ca="1" si="82"/>
        <v>159280</v>
      </c>
      <c r="T119" s="47">
        <f t="shared" ca="1" si="79"/>
        <v>91.719451802372447</v>
      </c>
      <c r="U119" s="47">
        <f t="shared" ca="1" si="80"/>
        <v>91.719451802372447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3">L121+L122</f>
        <v>0</v>
      </c>
      <c r="M120" s="47">
        <f t="shared" ca="1" si="83"/>
        <v>30740</v>
      </c>
      <c r="N120" s="47">
        <f t="shared" ca="1" si="83"/>
        <v>0</v>
      </c>
      <c r="O120" s="47">
        <f t="shared" ca="1" si="76"/>
        <v>0</v>
      </c>
      <c r="P120" s="47">
        <f t="shared" ca="1" si="77"/>
        <v>0</v>
      </c>
      <c r="Q120" s="47">
        <f t="shared" ref="Q120:S120" ca="1" si="84">Q121+Q122</f>
        <v>173660</v>
      </c>
      <c r="R120" s="47">
        <f t="shared" ca="1" si="84"/>
        <v>173660</v>
      </c>
      <c r="S120" s="47">
        <f t="shared" ca="1" si="84"/>
        <v>159280</v>
      </c>
      <c r="T120" s="47">
        <f t="shared" ca="1" si="79"/>
        <v>91.719451802372447</v>
      </c>
      <c r="U120" s="47">
        <f t="shared" ca="1" si="80"/>
        <v>91.719451802372447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6"/>
        <v>0</v>
      </c>
      <c r="P121" s="49">
        <f t="shared" si="77"/>
        <v>0</v>
      </c>
      <c r="Q121" s="49">
        <v>0</v>
      </c>
      <c r="R121" s="49">
        <v>0</v>
      </c>
      <c r="S121" s="49">
        <v>0</v>
      </c>
      <c r="T121" s="49">
        <f t="shared" si="79"/>
        <v>0</v>
      </c>
      <c r="U121" s="49">
        <f t="shared" si="80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IFERROR(__xludf.DUMMYFUNCTION("IMPORTRANGE(""https://docs.google.com/spreadsheets/d/1-uDff_7J0KD5mKrp0Vvzr7lt3OU09vwQwhkpOPPYv2Y/edit?usp=sharing"",""งบพรบ!BL80"")"),30740)</f>
        <v>30740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t="shared" ca="1" si="76"/>
        <v>0</v>
      </c>
      <c r="P122" s="47">
        <f t="shared" ca="1" si="77"/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IFERROR(__xludf.DUMMYFUNCTION("IMPORTRANGE(""https://docs.google.com/spreadsheets/d/1ItG2mGa2ceCfYo0BwxsXqNm01IGEUdYcSSLTEv9YCik/edit?usp=sharing"",""เบิกจ่ายกองทุน!W80"")"),159280)</f>
        <v>159280</v>
      </c>
      <c r="T122" s="47">
        <f t="shared" ca="1" si="79"/>
        <v>91.719451802372447</v>
      </c>
      <c r="U122" s="47">
        <f t="shared" ca="1" si="80"/>
        <v>91.719451802372447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5">L124+L125</f>
        <v>351900</v>
      </c>
      <c r="M123" s="47">
        <f t="shared" ca="1" si="85"/>
        <v>295000</v>
      </c>
      <c r="N123" s="47">
        <f t="shared" ca="1" si="85"/>
        <v>295000</v>
      </c>
      <c r="O123" s="47">
        <f t="shared" ca="1" si="76"/>
        <v>83.830633702756458</v>
      </c>
      <c r="P123" s="47">
        <f t="shared" ca="1" si="77"/>
        <v>100</v>
      </c>
      <c r="Q123" s="47">
        <f t="shared" ref="Q123:S123" ca="1" si="86">Q124+Q125</f>
        <v>0</v>
      </c>
      <c r="R123" s="47">
        <f t="shared" ca="1" si="86"/>
        <v>0</v>
      </c>
      <c r="S123" s="47">
        <f t="shared" ca="1" si="86"/>
        <v>0</v>
      </c>
      <c r="T123" s="47">
        <f t="shared" ca="1" si="79"/>
        <v>0</v>
      </c>
      <c r="U123" s="47">
        <f t="shared" ca="1" si="80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6"/>
        <v>0</v>
      </c>
      <c r="P124" s="49">
        <f t="shared" si="77"/>
        <v>0</v>
      </c>
      <c r="Q124" s="49">
        <v>0</v>
      </c>
      <c r="R124" s="49">
        <v>0</v>
      </c>
      <c r="S124" s="49">
        <v>0</v>
      </c>
      <c r="T124" s="49">
        <f t="shared" si="79"/>
        <v>0</v>
      </c>
      <c r="U124" s="49">
        <f t="shared" si="80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IFERROR(__xludf.DUMMYFUNCTION("IMPORTRANGE(""https://docs.google.com/spreadsheets/d/1-uDff_7J0KD5mKrp0Vvzr7lt3OU09vwQwhkpOPPYv2Y/edit?usp=sharing"",""งบพรบ!BM80"")"),295000)</f>
        <v>295000</v>
      </c>
      <c r="N125" s="47">
        <f ca="1">IFERROR(__xludf.DUMMYFUNCTION("IMPORTRANGE(""https://docs.google.com/spreadsheets/d/1-uDff_7J0KD5mKrp0Vvzr7lt3OU09vwQwhkpOPPYv2Y/edit?usp=sharing"",""งบพรบ!BO80"")"),295000)</f>
        <v>295000</v>
      </c>
      <c r="O125" s="47">
        <f t="shared" ca="1" si="76"/>
        <v>83.830633702756458</v>
      </c>
      <c r="P125" s="47">
        <f t="shared" ca="1" si="77"/>
        <v>100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t="shared" ca="1" si="79"/>
        <v>0</v>
      </c>
      <c r="U125" s="47">
        <f t="shared" ca="1" si="80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IFERROR(__xludf.DUMMYFUNCTION("IMPORTRANGE(""https://docs.google.com/spreadsheets/d/1eHaY18a8A9IcSdp1K8H6x8fbOy06t2VsZHhMHf-1x7Y/edit?usp=sharing"",""แผน!FF80"")"),10)</f>
        <v>10</v>
      </c>
      <c r="J127" s="169">
        <v>10</v>
      </c>
      <c r="K127" s="47">
        <f t="shared" ref="K127:K130" ca="1" si="87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IFERROR(__xludf.DUMMYFUNCTION("IMPORTRANGE(""https://docs.google.com/spreadsheets/d/1eHaY18a8A9IcSdp1K8H6x8fbOy06t2VsZHhMHf-1x7Y/edit?usp=sharing"",""แผน!FG80"")"),1)</f>
        <v>1</v>
      </c>
      <c r="J128" s="169">
        <v>1</v>
      </c>
      <c r="K128" s="47">
        <f t="shared" ca="1" si="87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IFERROR(__xludf.DUMMYFUNCTION("IMPORTRANGE(""https://docs.google.com/spreadsheets/d/1eHaY18a8A9IcSdp1K8H6x8fbOy06t2VsZHhMHf-1x7Y/edit?usp=sharing"",""แผน!FH80"")"),10)</f>
        <v>10</v>
      </c>
      <c r="J129" s="169">
        <v>10</v>
      </c>
      <c r="K129" s="47">
        <f t="shared" ca="1" si="87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IFERROR(__xludf.DUMMYFUNCTION("IMPORTRANGE(""https://docs.google.com/spreadsheets/d/1eHaY18a8A9IcSdp1K8H6x8fbOy06t2VsZHhMHf-1x7Y/edit?usp=sharing"",""แผน!FI80"")"),1)</f>
        <v>1</v>
      </c>
      <c r="J130" s="169">
        <v>1</v>
      </c>
      <c r="K130" s="47">
        <f t="shared" ca="1" si="87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8">I154</f>
        <v>0</v>
      </c>
      <c r="J136" s="128">
        <f t="shared" si="88"/>
        <v>0</v>
      </c>
      <c r="K136" s="35">
        <f t="shared" ref="K136:K138" ca="1" si="89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0">I152</f>
        <v>0</v>
      </c>
      <c r="J137" s="128">
        <f t="shared" si="90"/>
        <v>0</v>
      </c>
      <c r="K137" s="35">
        <f t="shared" ca="1" si="89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0"/>
        <v>0</v>
      </c>
      <c r="J138" s="128">
        <f t="shared" si="90"/>
        <v>0</v>
      </c>
      <c r="K138" s="35">
        <f t="shared" ca="1" si="89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1">L140+L141</f>
        <v>0</v>
      </c>
      <c r="M139" s="133">
        <f t="shared" ca="1" si="91"/>
        <v>0</v>
      </c>
      <c r="N139" s="133">
        <f t="shared" ca="1" si="91"/>
        <v>0</v>
      </c>
      <c r="O139" s="133">
        <f t="shared" ref="O139:O147" ca="1" si="92">IF(L139&gt;0,N139*100/L139,0)</f>
        <v>0</v>
      </c>
      <c r="P139" s="133">
        <f t="shared" ref="P139:P147" ca="1" si="93">IF(M139&gt;0,N139*100/M139,0)</f>
        <v>0</v>
      </c>
      <c r="Q139" s="133">
        <f t="shared" ref="Q139:S139" ca="1" si="94">Q140+Q141</f>
        <v>0</v>
      </c>
      <c r="R139" s="133">
        <f t="shared" ca="1" si="94"/>
        <v>0</v>
      </c>
      <c r="S139" s="133">
        <f t="shared" ca="1" si="94"/>
        <v>0</v>
      </c>
      <c r="T139" s="133">
        <f t="shared" ref="T139:T147" ca="1" si="95">IF(Q139&gt;0,S139*100/Q139,0)</f>
        <v>0</v>
      </c>
      <c r="U139" s="133">
        <f t="shared" ref="U139:U147" ca="1" si="96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7">L143+L146</f>
        <v>0</v>
      </c>
      <c r="M140" s="49">
        <f t="shared" si="97"/>
        <v>0</v>
      </c>
      <c r="N140" s="49">
        <f t="shared" si="97"/>
        <v>0</v>
      </c>
      <c r="O140" s="49">
        <f t="shared" si="92"/>
        <v>0</v>
      </c>
      <c r="P140" s="49">
        <f t="shared" si="93"/>
        <v>0</v>
      </c>
      <c r="Q140" s="49">
        <f t="shared" ref="Q140:S141" si="98">Q143+Q146</f>
        <v>0</v>
      </c>
      <c r="R140" s="49">
        <f t="shared" si="98"/>
        <v>0</v>
      </c>
      <c r="S140" s="49">
        <f t="shared" si="98"/>
        <v>0</v>
      </c>
      <c r="T140" s="49">
        <f t="shared" si="95"/>
        <v>0</v>
      </c>
      <c r="U140" s="49">
        <f t="shared" si="96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7"/>
        <v>0</v>
      </c>
      <c r="M141" s="47">
        <f t="shared" ca="1" si="97"/>
        <v>0</v>
      </c>
      <c r="N141" s="47">
        <f t="shared" ca="1" si="97"/>
        <v>0</v>
      </c>
      <c r="O141" s="47">
        <f t="shared" ca="1" si="92"/>
        <v>0</v>
      </c>
      <c r="P141" s="47">
        <f t="shared" ca="1" si="93"/>
        <v>0</v>
      </c>
      <c r="Q141" s="47">
        <f t="shared" ca="1" si="98"/>
        <v>0</v>
      </c>
      <c r="R141" s="47">
        <f t="shared" ca="1" si="98"/>
        <v>0</v>
      </c>
      <c r="S141" s="47">
        <f t="shared" ca="1" si="98"/>
        <v>0</v>
      </c>
      <c r="T141" s="47">
        <f t="shared" ca="1" si="95"/>
        <v>0</v>
      </c>
      <c r="U141" s="47">
        <f t="shared" ca="1" si="96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99">L143+L144</f>
        <v>0</v>
      </c>
      <c r="M142" s="47">
        <f t="shared" ca="1" si="99"/>
        <v>0</v>
      </c>
      <c r="N142" s="47">
        <f t="shared" ca="1" si="99"/>
        <v>0</v>
      </c>
      <c r="O142" s="47">
        <f t="shared" ca="1" si="92"/>
        <v>0</v>
      </c>
      <c r="P142" s="47">
        <f t="shared" ca="1" si="93"/>
        <v>0</v>
      </c>
      <c r="Q142" s="47">
        <f t="shared" ref="Q142:S142" ca="1" si="100">Q143+Q144</f>
        <v>0</v>
      </c>
      <c r="R142" s="47">
        <f t="shared" ca="1" si="100"/>
        <v>0</v>
      </c>
      <c r="S142" s="47">
        <f t="shared" ca="1" si="100"/>
        <v>0</v>
      </c>
      <c r="T142" s="47">
        <f t="shared" ca="1" si="95"/>
        <v>0</v>
      </c>
      <c r="U142" s="47">
        <f t="shared" ca="1" si="96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2"/>
        <v>0</v>
      </c>
      <c r="P143" s="49">
        <f t="shared" si="93"/>
        <v>0</v>
      </c>
      <c r="Q143" s="49">
        <v>0</v>
      </c>
      <c r="R143" s="49">
        <v>0</v>
      </c>
      <c r="S143" s="49">
        <v>0</v>
      </c>
      <c r="T143" s="49">
        <f t="shared" si="95"/>
        <v>0</v>
      </c>
      <c r="U143" s="49">
        <f t="shared" si="96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t="shared" ca="1" si="92"/>
        <v>0</v>
      </c>
      <c r="P144" s="47">
        <f t="shared" ca="1" si="93"/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t="shared" ca="1" si="95"/>
        <v>0</v>
      </c>
      <c r="U144" s="47">
        <f t="shared" ca="1" si="96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1">L146+L147</f>
        <v>0</v>
      </c>
      <c r="M145" s="47">
        <f t="shared" ca="1" si="101"/>
        <v>0</v>
      </c>
      <c r="N145" s="47">
        <f t="shared" ca="1" si="101"/>
        <v>0</v>
      </c>
      <c r="O145" s="47">
        <f t="shared" ca="1" si="92"/>
        <v>0</v>
      </c>
      <c r="P145" s="47">
        <f t="shared" ca="1" si="93"/>
        <v>0</v>
      </c>
      <c r="Q145" s="47">
        <f t="shared" ref="Q145:S145" ca="1" si="102">Q146+Q147</f>
        <v>0</v>
      </c>
      <c r="R145" s="47">
        <f t="shared" ca="1" si="102"/>
        <v>0</v>
      </c>
      <c r="S145" s="47">
        <f t="shared" ca="1" si="102"/>
        <v>0</v>
      </c>
      <c r="T145" s="47">
        <f t="shared" ca="1" si="95"/>
        <v>0</v>
      </c>
      <c r="U145" s="47">
        <f t="shared" ca="1" si="96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2"/>
        <v>0</v>
      </c>
      <c r="P146" s="49">
        <f t="shared" si="93"/>
        <v>0</v>
      </c>
      <c r="Q146" s="49">
        <v>0</v>
      </c>
      <c r="R146" s="49">
        <v>0</v>
      </c>
      <c r="S146" s="49">
        <v>0</v>
      </c>
      <c r="T146" s="49">
        <f t="shared" si="95"/>
        <v>0</v>
      </c>
      <c r="U146" s="49">
        <f t="shared" si="96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t="shared" ca="1" si="92"/>
        <v>0</v>
      </c>
      <c r="P147" s="47">
        <f t="shared" ca="1" si="93"/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t="shared" ca="1" si="95"/>
        <v>0</v>
      </c>
      <c r="U147" s="47">
        <f t="shared" ca="1" si="96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IFERROR(__xludf.DUMMYFUNCTION("IMPORTRANGE(""https://docs.google.com/spreadsheets/d/1eHaY18a8A9IcSdp1K8H6x8fbOy06t2VsZHhMHf-1x7Y/edit?usp=sharing"",""แผน!U80"")"),0)</f>
        <v>0</v>
      </c>
      <c r="J150" s="169">
        <v>0</v>
      </c>
      <c r="K150" s="47">
        <f t="shared" ref="K150:K154" ca="1" si="103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IFERROR(__xludf.DUMMYFUNCTION("IMPORTRANGE(""https://docs.google.com/spreadsheets/d/1eHaY18a8A9IcSdp1K8H6x8fbOy06t2VsZHhMHf-1x7Y/edit?usp=sharing"",""แผน!V80"")"),0)</f>
        <v>0</v>
      </c>
      <c r="J151" s="169">
        <v>0</v>
      </c>
      <c r="K151" s="47">
        <f t="shared" ca="1" si="103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IFERROR(__xludf.DUMMYFUNCTION("IMPORTRANGE(""https://docs.google.com/spreadsheets/d/1eHaY18a8A9IcSdp1K8H6x8fbOy06t2VsZHhMHf-1x7Y/edit?usp=sharing"",""แผน!W80"")"),0)</f>
        <v>0</v>
      </c>
      <c r="J152" s="169">
        <v>0</v>
      </c>
      <c r="K152" s="47">
        <f t="shared" ca="1" si="103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IFERROR(__xludf.DUMMYFUNCTION("IMPORTRANGE(""https://docs.google.com/spreadsheets/d/1eHaY18a8A9IcSdp1K8H6x8fbOy06t2VsZHhMHf-1x7Y/edit?usp=sharing"",""แผน!X80"")"),0)</f>
        <v>0</v>
      </c>
      <c r="J153" s="169">
        <v>0</v>
      </c>
      <c r="K153" s="47">
        <f t="shared" ca="1" si="103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IFERROR(__xludf.DUMMYFUNCTION("IMPORTRANGE(""https://docs.google.com/spreadsheets/d/1eHaY18a8A9IcSdp1K8H6x8fbOy06t2VsZHhMHf-1x7Y/edit?usp=sharing"",""แผน!Y80"")"),0)</f>
        <v>0</v>
      </c>
      <c r="J154" s="169">
        <v>0</v>
      </c>
      <c r="K154" s="47">
        <f t="shared" ca="1" si="103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4">I169</f>
        <v>0</v>
      </c>
      <c r="J156" s="128">
        <f t="shared" si="104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5">L158+L159</f>
        <v>0</v>
      </c>
      <c r="M157" s="133">
        <f t="shared" ca="1" si="105"/>
        <v>0</v>
      </c>
      <c r="N157" s="133">
        <f t="shared" ca="1" si="105"/>
        <v>0</v>
      </c>
      <c r="O157" s="133">
        <f t="shared" ref="O157:O165" ca="1" si="106">IF(L157&gt;0,N157*100/L157,0)</f>
        <v>0</v>
      </c>
      <c r="P157" s="133">
        <f t="shared" ref="P157:P165" ca="1" si="107">IF(M157&gt;0,N157*100/M157,0)</f>
        <v>0</v>
      </c>
      <c r="Q157" s="133">
        <f t="shared" ref="Q157:S157" ca="1" si="108">Q158+Q159</f>
        <v>0</v>
      </c>
      <c r="R157" s="133">
        <f t="shared" ca="1" si="108"/>
        <v>0</v>
      </c>
      <c r="S157" s="133">
        <f t="shared" ca="1" si="108"/>
        <v>0</v>
      </c>
      <c r="T157" s="133">
        <f t="shared" ref="T157:T165" ca="1" si="109">IF(Q157&gt;0,S157*100/Q157,0)</f>
        <v>0</v>
      </c>
      <c r="U157" s="133">
        <f t="shared" ref="U157:U165" ca="1" si="110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1">L161+L164</f>
        <v>0</v>
      </c>
      <c r="M158" s="49">
        <f t="shared" si="111"/>
        <v>0</v>
      </c>
      <c r="N158" s="49">
        <f t="shared" si="111"/>
        <v>0</v>
      </c>
      <c r="O158" s="49">
        <f t="shared" si="106"/>
        <v>0</v>
      </c>
      <c r="P158" s="49">
        <f t="shared" si="107"/>
        <v>0</v>
      </c>
      <c r="Q158" s="49">
        <f t="shared" ref="Q158:S159" si="112">Q161+Q164</f>
        <v>0</v>
      </c>
      <c r="R158" s="49">
        <f t="shared" si="112"/>
        <v>0</v>
      </c>
      <c r="S158" s="49">
        <f t="shared" si="112"/>
        <v>0</v>
      </c>
      <c r="T158" s="49">
        <f t="shared" si="109"/>
        <v>0</v>
      </c>
      <c r="U158" s="49">
        <f t="shared" si="110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1"/>
        <v>0</v>
      </c>
      <c r="M159" s="47">
        <f t="shared" ca="1" si="111"/>
        <v>0</v>
      </c>
      <c r="N159" s="47">
        <f t="shared" ca="1" si="111"/>
        <v>0</v>
      </c>
      <c r="O159" s="47">
        <f t="shared" ca="1" si="106"/>
        <v>0</v>
      </c>
      <c r="P159" s="47">
        <f t="shared" ca="1" si="107"/>
        <v>0</v>
      </c>
      <c r="Q159" s="47">
        <f t="shared" ca="1" si="112"/>
        <v>0</v>
      </c>
      <c r="R159" s="47">
        <f t="shared" ca="1" si="112"/>
        <v>0</v>
      </c>
      <c r="S159" s="47">
        <f t="shared" ca="1" si="112"/>
        <v>0</v>
      </c>
      <c r="T159" s="47">
        <f t="shared" ca="1" si="109"/>
        <v>0</v>
      </c>
      <c r="U159" s="47">
        <f t="shared" ca="1" si="110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3">L161+L162</f>
        <v>0</v>
      </c>
      <c r="M160" s="47">
        <f t="shared" ca="1" si="113"/>
        <v>0</v>
      </c>
      <c r="N160" s="47">
        <f t="shared" ca="1" si="113"/>
        <v>0</v>
      </c>
      <c r="O160" s="47">
        <f t="shared" ca="1" si="106"/>
        <v>0</v>
      </c>
      <c r="P160" s="47">
        <f t="shared" ca="1" si="107"/>
        <v>0</v>
      </c>
      <c r="Q160" s="47">
        <f t="shared" ref="Q160:S160" ca="1" si="114">Q161+Q162</f>
        <v>0</v>
      </c>
      <c r="R160" s="47">
        <f t="shared" ca="1" si="114"/>
        <v>0</v>
      </c>
      <c r="S160" s="47">
        <f t="shared" ca="1" si="114"/>
        <v>0</v>
      </c>
      <c r="T160" s="47">
        <f t="shared" ca="1" si="109"/>
        <v>0</v>
      </c>
      <c r="U160" s="47">
        <f t="shared" ca="1" si="110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6"/>
        <v>0</v>
      </c>
      <c r="P161" s="49">
        <f t="shared" si="107"/>
        <v>0</v>
      </c>
      <c r="Q161" s="49">
        <v>0</v>
      </c>
      <c r="R161" s="49">
        <v>0</v>
      </c>
      <c r="S161" s="49">
        <v>0</v>
      </c>
      <c r="T161" s="49">
        <f t="shared" si="109"/>
        <v>0</v>
      </c>
      <c r="U161" s="49">
        <f t="shared" si="110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t="shared" ca="1" si="106"/>
        <v>0</v>
      </c>
      <c r="P162" s="47">
        <f t="shared" ca="1" si="107"/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t="shared" ca="1" si="109"/>
        <v>0</v>
      </c>
      <c r="U162" s="47">
        <f t="shared" ca="1" si="110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5">L164+L165</f>
        <v>0</v>
      </c>
      <c r="M163" s="47">
        <f t="shared" ca="1" si="115"/>
        <v>0</v>
      </c>
      <c r="N163" s="47">
        <f t="shared" ca="1" si="115"/>
        <v>0</v>
      </c>
      <c r="O163" s="47">
        <f t="shared" ca="1" si="106"/>
        <v>0</v>
      </c>
      <c r="P163" s="47">
        <f t="shared" ca="1" si="107"/>
        <v>0</v>
      </c>
      <c r="Q163" s="47">
        <f t="shared" ref="Q163:S163" si="116">Q164+Q165</f>
        <v>0</v>
      </c>
      <c r="R163" s="47">
        <f t="shared" si="116"/>
        <v>0</v>
      </c>
      <c r="S163" s="47">
        <f t="shared" si="116"/>
        <v>0</v>
      </c>
      <c r="T163" s="47">
        <f t="shared" si="109"/>
        <v>0</v>
      </c>
      <c r="U163" s="47">
        <f t="shared" si="110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6"/>
        <v>0</v>
      </c>
      <c r="P164" s="49">
        <f t="shared" si="107"/>
        <v>0</v>
      </c>
      <c r="Q164" s="49">
        <v>0</v>
      </c>
      <c r="R164" s="49">
        <v>0</v>
      </c>
      <c r="S164" s="49">
        <v>0</v>
      </c>
      <c r="T164" s="49">
        <f t="shared" si="109"/>
        <v>0</v>
      </c>
      <c r="U164" s="49">
        <f t="shared" si="110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t="shared" ca="1" si="106"/>
        <v>0</v>
      </c>
      <c r="P165" s="47">
        <f t="shared" ca="1" si="107"/>
        <v>0</v>
      </c>
      <c r="Q165" s="47">
        <v>0</v>
      </c>
      <c r="R165" s="47">
        <v>0</v>
      </c>
      <c r="S165" s="47">
        <v>0</v>
      </c>
      <c r="T165" s="47">
        <f t="shared" si="109"/>
        <v>0</v>
      </c>
      <c r="U165" s="47">
        <f t="shared" si="110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IFERROR(__xludf.DUMMYFUNCTION("IMPORTRANGE(""https://docs.google.com/spreadsheets/d/1eHaY18a8A9IcSdp1K8H6x8fbOy06t2VsZHhMHf-1x7Y/edit?usp=sharing"",""แผน!Z80"")"),0)</f>
        <v>0</v>
      </c>
      <c r="J167" s="169">
        <v>0</v>
      </c>
      <c r="K167" s="47">
        <f t="shared" ref="K167:K169" ca="1" si="117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IFERROR(__xludf.DUMMYFUNCTION("IMPORTRANGE(""https://docs.google.com/spreadsheets/d/1eHaY18a8A9IcSdp1K8H6x8fbOy06t2VsZHhMHf-1x7Y/edit?usp=sharing"",""แผน!Z80"")"),0)</f>
        <v>0</v>
      </c>
      <c r="J168" s="627">
        <v>0</v>
      </c>
      <c r="K168" s="49">
        <f t="shared" ca="1" si="117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IFERROR(__xludf.DUMMYFUNCTION("IMPORTRANGE(""https://docs.google.com/spreadsheets/d/1eHaY18a8A9IcSdp1K8H6x8fbOy06t2VsZHhMHf-1x7Y/edit?usp=sharing"",""แผน!Z80"")"),0)</f>
        <v>0</v>
      </c>
      <c r="J169" s="629">
        <v>0</v>
      </c>
      <c r="K169" s="630">
        <f t="shared" ca="1" si="117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8">I183+I184</f>
        <v>17</v>
      </c>
      <c r="J172" s="222">
        <f t="shared" si="118"/>
        <v>17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19">L174+L175</f>
        <v>19590</v>
      </c>
      <c r="M173" s="133">
        <f t="shared" ca="1" si="119"/>
        <v>40830</v>
      </c>
      <c r="N173" s="133">
        <f t="shared" ca="1" si="119"/>
        <v>39020</v>
      </c>
      <c r="O173" s="133">
        <f t="shared" ref="O173:O181" ca="1" si="120">IF(L173&gt;0,N173*100/L173,0)</f>
        <v>199.18325676365492</v>
      </c>
      <c r="P173" s="133">
        <f t="shared" ref="P173:P181" ca="1" si="121">IF(M173&gt;0,N173*100/M173,0)</f>
        <v>95.566985060004896</v>
      </c>
      <c r="Q173" s="133">
        <f t="shared" ref="Q173:S173" ca="1" si="122">Q174+Q175</f>
        <v>22960</v>
      </c>
      <c r="R173" s="133">
        <f t="shared" ca="1" si="122"/>
        <v>22960</v>
      </c>
      <c r="S173" s="133">
        <f t="shared" ca="1" si="122"/>
        <v>19800</v>
      </c>
      <c r="T173" s="133">
        <f t="shared" ref="T173:T181" ca="1" si="123">IF(Q173&gt;0,S173*100/Q173,0)</f>
        <v>86.236933797909401</v>
      </c>
      <c r="U173" s="133">
        <f t="shared" ref="U173:U181" ca="1" si="124">IF(R173&gt;0,S173*100/R173,0)</f>
        <v>86.236933797909401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5">L177+L180</f>
        <v>0</v>
      </c>
      <c r="M174" s="49">
        <f t="shared" si="125"/>
        <v>0</v>
      </c>
      <c r="N174" s="49">
        <f t="shared" si="125"/>
        <v>0</v>
      </c>
      <c r="O174" s="49">
        <f t="shared" si="120"/>
        <v>0</v>
      </c>
      <c r="P174" s="49">
        <f t="shared" si="121"/>
        <v>0</v>
      </c>
      <c r="Q174" s="49">
        <f t="shared" ref="Q174:S175" si="126">Q177+Q180</f>
        <v>0</v>
      </c>
      <c r="R174" s="49">
        <f t="shared" si="126"/>
        <v>0</v>
      </c>
      <c r="S174" s="49">
        <f t="shared" si="126"/>
        <v>0</v>
      </c>
      <c r="T174" s="49">
        <f t="shared" si="123"/>
        <v>0</v>
      </c>
      <c r="U174" s="49">
        <f t="shared" si="124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5"/>
        <v>19590</v>
      </c>
      <c r="M175" s="47">
        <f t="shared" ca="1" si="125"/>
        <v>40830</v>
      </c>
      <c r="N175" s="47">
        <f t="shared" ca="1" si="125"/>
        <v>39020</v>
      </c>
      <c r="O175" s="47">
        <f t="shared" ca="1" si="120"/>
        <v>199.18325676365492</v>
      </c>
      <c r="P175" s="47">
        <f t="shared" ca="1" si="121"/>
        <v>95.566985060004896</v>
      </c>
      <c r="Q175" s="47">
        <f t="shared" ca="1" si="126"/>
        <v>22960</v>
      </c>
      <c r="R175" s="47">
        <f t="shared" ca="1" si="126"/>
        <v>22960</v>
      </c>
      <c r="S175" s="47">
        <f t="shared" ca="1" si="126"/>
        <v>19800</v>
      </c>
      <c r="T175" s="47">
        <f t="shared" ca="1" si="123"/>
        <v>86.236933797909401</v>
      </c>
      <c r="U175" s="47">
        <f t="shared" ca="1" si="124"/>
        <v>86.236933797909401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7">L177+L178</f>
        <v>19590</v>
      </c>
      <c r="M176" s="47">
        <f t="shared" ca="1" si="127"/>
        <v>40830</v>
      </c>
      <c r="N176" s="47">
        <f t="shared" ca="1" si="127"/>
        <v>39020</v>
      </c>
      <c r="O176" s="47">
        <f t="shared" ca="1" si="120"/>
        <v>199.18325676365492</v>
      </c>
      <c r="P176" s="47">
        <f t="shared" ca="1" si="121"/>
        <v>95.566985060004896</v>
      </c>
      <c r="Q176" s="47">
        <f t="shared" ref="Q176:S176" ca="1" si="128">Q177+Q178</f>
        <v>22960</v>
      </c>
      <c r="R176" s="47">
        <f t="shared" ca="1" si="128"/>
        <v>22960</v>
      </c>
      <c r="S176" s="47">
        <f t="shared" ca="1" si="128"/>
        <v>19800</v>
      </c>
      <c r="T176" s="47">
        <f t="shared" ca="1" si="123"/>
        <v>86.236933797909401</v>
      </c>
      <c r="U176" s="47">
        <f t="shared" ca="1" si="124"/>
        <v>86.236933797909401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0"/>
        <v>0</v>
      </c>
      <c r="P177" s="49">
        <f t="shared" si="121"/>
        <v>0</v>
      </c>
      <c r="Q177" s="49">
        <v>0</v>
      </c>
      <c r="R177" s="49">
        <v>0</v>
      </c>
      <c r="S177" s="49">
        <v>0</v>
      </c>
      <c r="T177" s="49">
        <f t="shared" si="123"/>
        <v>0</v>
      </c>
      <c r="U177" s="49">
        <f t="shared" si="124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IFERROR(__xludf.DUMMYFUNCTION("IMPORTRANGE(""https://docs.google.com/spreadsheets/d/1-uDff_7J0KD5mKrp0Vvzr7lt3OU09vwQwhkpOPPYv2Y/edit?usp=sharing"",""งบพรบ!CR80"")"),39020)</f>
        <v>39020</v>
      </c>
      <c r="O178" s="47">
        <f t="shared" ca="1" si="120"/>
        <v>199.18325676365492</v>
      </c>
      <c r="P178" s="47">
        <f t="shared" ca="1" si="121"/>
        <v>95.566985060004896</v>
      </c>
      <c r="Q178" s="47">
        <f ca="1">IFERROR(__xludf.DUMMYFUNCTION("IMPORTRANGE(""https://docs.google.com/spreadsheets/d/1ItG2mGa2ceCfYo0BwxsXqNm01IGEUdYcSSLTEv9YCik/edit?usp=sharing"",""เบิกจ่ายกองทุน!DG80"")"),22960)</f>
        <v>22960</v>
      </c>
      <c r="R178" s="47">
        <f ca="1">IFERROR(__xludf.DUMMYFUNCTION("IMPORTRANGE(""https://docs.google.com/spreadsheets/d/1ItG2mGa2ceCfYo0BwxsXqNm01IGEUdYcSSLTEv9YCik/edit?usp=sharing"",""เบิกจ่ายกองทุน!DH80"")"),22960)</f>
        <v>22960</v>
      </c>
      <c r="S178" s="47">
        <f ca="1">IFERROR(__xludf.DUMMYFUNCTION("IMPORTRANGE(""https://docs.google.com/spreadsheets/d/1ItG2mGa2ceCfYo0BwxsXqNm01IGEUdYcSSLTEv9YCik/edit?usp=sharing"",""เบิกจ่ายกองทุน!DI80"")"),19800)</f>
        <v>19800</v>
      </c>
      <c r="T178" s="47">
        <f t="shared" ca="1" si="123"/>
        <v>86.236933797909401</v>
      </c>
      <c r="U178" s="47">
        <f t="shared" ca="1" si="124"/>
        <v>86.236933797909401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29">L180+L181</f>
        <v>0</v>
      </c>
      <c r="M179" s="47">
        <f t="shared" ca="1" si="129"/>
        <v>0</v>
      </c>
      <c r="N179" s="47">
        <f t="shared" ca="1" si="129"/>
        <v>0</v>
      </c>
      <c r="O179" s="47">
        <f t="shared" ca="1" si="120"/>
        <v>0</v>
      </c>
      <c r="P179" s="47">
        <f t="shared" ca="1" si="121"/>
        <v>0</v>
      </c>
      <c r="Q179" s="47">
        <f t="shared" ref="Q179:S179" si="130">Q180+Q181</f>
        <v>0</v>
      </c>
      <c r="R179" s="47">
        <f t="shared" si="130"/>
        <v>0</v>
      </c>
      <c r="S179" s="47">
        <f t="shared" si="130"/>
        <v>0</v>
      </c>
      <c r="T179" s="47">
        <f t="shared" si="123"/>
        <v>0</v>
      </c>
      <c r="U179" s="47">
        <f t="shared" si="124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0"/>
        <v>0</v>
      </c>
      <c r="P180" s="49">
        <f t="shared" si="121"/>
        <v>0</v>
      </c>
      <c r="Q180" s="49">
        <v>0</v>
      </c>
      <c r="R180" s="49">
        <v>0</v>
      </c>
      <c r="S180" s="49">
        <v>0</v>
      </c>
      <c r="T180" s="49">
        <f t="shared" si="123"/>
        <v>0</v>
      </c>
      <c r="U180" s="49">
        <f t="shared" si="124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t="shared" ca="1" si="120"/>
        <v>0</v>
      </c>
      <c r="P181" s="47">
        <f t="shared" ca="1" si="121"/>
        <v>0</v>
      </c>
      <c r="Q181" s="47">
        <v>0</v>
      </c>
      <c r="R181" s="47">
        <v>0</v>
      </c>
      <c r="S181" s="47">
        <v>0</v>
      </c>
      <c r="T181" s="47">
        <f t="shared" si="123"/>
        <v>0</v>
      </c>
      <c r="U181" s="47">
        <f t="shared" si="124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IFERROR(__xludf.DUMMYFUNCTION("IMPORTRANGE(""https://docs.google.com/spreadsheets/d/1eHaY18a8A9IcSdp1K8H6x8fbOy06t2VsZHhMHf-1x7Y/edit?usp=sharing"",""แผน!AA80"")"),17)</f>
        <v>17</v>
      </c>
      <c r="J183" s="169">
        <v>17</v>
      </c>
      <c r="K183" s="47">
        <f t="shared" ref="K183:K185" ca="1" si="131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1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2">I230+I231</f>
        <v>0</v>
      </c>
      <c r="J185" s="222">
        <f t="shared" si="132"/>
        <v>0</v>
      </c>
      <c r="K185" s="223">
        <f t="shared" ca="1" si="131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3">L187+L188</f>
        <v>105500</v>
      </c>
      <c r="M186" s="133">
        <f t="shared" ca="1" si="133"/>
        <v>107500</v>
      </c>
      <c r="N186" s="133">
        <f t="shared" ca="1" si="133"/>
        <v>103596.6</v>
      </c>
      <c r="O186" s="133">
        <f t="shared" ref="O186:O194" ca="1" si="134">IF(L186&gt;0,N186*100/L186,0)</f>
        <v>98.195829383886263</v>
      </c>
      <c r="P186" s="133">
        <f t="shared" ref="P186:P194" ca="1" si="135">IF(M186&gt;0,N186*100/M186,0)</f>
        <v>96.368930232558142</v>
      </c>
      <c r="Q186" s="133">
        <f t="shared" ref="Q186:S186" ca="1" si="136">Q187+Q188</f>
        <v>0</v>
      </c>
      <c r="R186" s="133">
        <f t="shared" ca="1" si="136"/>
        <v>0</v>
      </c>
      <c r="S186" s="133">
        <f t="shared" ca="1" si="136"/>
        <v>360</v>
      </c>
      <c r="T186" s="133">
        <f t="shared" ref="T186:T194" ca="1" si="137">IF(Q186&gt;0,S186*100/Q186,0)</f>
        <v>0</v>
      </c>
      <c r="U186" s="133">
        <f t="shared" ref="U186:U194" ca="1" si="138">IF(R186&gt;0,S186*100/R186,0)</f>
        <v>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39">L190+L193</f>
        <v>0</v>
      </c>
      <c r="M187" s="49">
        <f t="shared" si="139"/>
        <v>0</v>
      </c>
      <c r="N187" s="49">
        <f t="shared" si="139"/>
        <v>0</v>
      </c>
      <c r="O187" s="49">
        <f t="shared" si="134"/>
        <v>0</v>
      </c>
      <c r="P187" s="49">
        <f t="shared" si="135"/>
        <v>0</v>
      </c>
      <c r="Q187" s="49">
        <f t="shared" ref="Q187:S188" si="140">Q190+Q193</f>
        <v>0</v>
      </c>
      <c r="R187" s="49">
        <f t="shared" si="140"/>
        <v>0</v>
      </c>
      <c r="S187" s="49">
        <f t="shared" si="140"/>
        <v>0</v>
      </c>
      <c r="T187" s="49">
        <f t="shared" si="137"/>
        <v>0</v>
      </c>
      <c r="U187" s="49">
        <f t="shared" si="138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39"/>
        <v>105500</v>
      </c>
      <c r="M188" s="47">
        <f t="shared" ca="1" si="139"/>
        <v>107500</v>
      </c>
      <c r="N188" s="47">
        <f t="shared" ca="1" si="139"/>
        <v>103596.6</v>
      </c>
      <c r="O188" s="47">
        <f t="shared" ca="1" si="134"/>
        <v>98.195829383886263</v>
      </c>
      <c r="P188" s="47">
        <f t="shared" ca="1" si="135"/>
        <v>96.368930232558142</v>
      </c>
      <c r="Q188" s="47">
        <f t="shared" ca="1" si="140"/>
        <v>0</v>
      </c>
      <c r="R188" s="47">
        <f t="shared" ca="1" si="140"/>
        <v>0</v>
      </c>
      <c r="S188" s="47">
        <f t="shared" ca="1" si="140"/>
        <v>360</v>
      </c>
      <c r="T188" s="47">
        <f t="shared" ca="1" si="137"/>
        <v>0</v>
      </c>
      <c r="U188" s="47">
        <f t="shared" ca="1" si="138"/>
        <v>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1">L190+L191</f>
        <v>105500</v>
      </c>
      <c r="M189" s="47">
        <f t="shared" ca="1" si="141"/>
        <v>107500</v>
      </c>
      <c r="N189" s="47">
        <f t="shared" ca="1" si="141"/>
        <v>103596.6</v>
      </c>
      <c r="O189" s="47">
        <f t="shared" ca="1" si="134"/>
        <v>98.195829383886263</v>
      </c>
      <c r="P189" s="47">
        <f t="shared" ca="1" si="135"/>
        <v>96.368930232558142</v>
      </c>
      <c r="Q189" s="47">
        <f t="shared" ref="Q189:S189" ca="1" si="142">Q190+Q191</f>
        <v>0</v>
      </c>
      <c r="R189" s="47">
        <f t="shared" ca="1" si="142"/>
        <v>0</v>
      </c>
      <c r="S189" s="47">
        <f t="shared" ca="1" si="142"/>
        <v>360</v>
      </c>
      <c r="T189" s="47">
        <f t="shared" ca="1" si="137"/>
        <v>0</v>
      </c>
      <c r="U189" s="47">
        <f t="shared" ca="1" si="138"/>
        <v>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4"/>
        <v>0</v>
      </c>
      <c r="P190" s="49">
        <f t="shared" si="135"/>
        <v>0</v>
      </c>
      <c r="Q190" s="49">
        <v>0</v>
      </c>
      <c r="R190" s="49">
        <v>0</v>
      </c>
      <c r="S190" s="49">
        <v>0</v>
      </c>
      <c r="T190" s="49">
        <f t="shared" si="137"/>
        <v>0</v>
      </c>
      <c r="U190" s="49">
        <f t="shared" si="138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IFERROR(__xludf.DUMMYFUNCTION("IMPORTRANGE(""https://docs.google.com/spreadsheets/d/1-uDff_7J0KD5mKrp0Vvzr7lt3OU09vwQwhkpOPPYv2Y/edit?usp=sharing"",""งบพรบ!CZ80"")"),107500)</f>
        <v>107500</v>
      </c>
      <c r="N191" s="47">
        <f ca="1">IFERROR(__xludf.DUMMYFUNCTION("IMPORTRANGE(""https://docs.google.com/spreadsheets/d/1-uDff_7J0KD5mKrp0Vvzr7lt3OU09vwQwhkpOPPYv2Y/edit?usp=sharing"",""งบพรบ!DB80"")"),103596.6)</f>
        <v>103596.6</v>
      </c>
      <c r="O191" s="47">
        <f t="shared" ca="1" si="134"/>
        <v>98.195829383886263</v>
      </c>
      <c r="P191" s="47">
        <f t="shared" ca="1" si="135"/>
        <v>96.368930232558142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IFERROR(__xludf.DUMMYFUNCTION("IMPORTRANGE(""https://docs.google.com/spreadsheets/d/1ItG2mGa2ceCfYo0BwxsXqNm01IGEUdYcSSLTEv9YCik/edit?usp=sharing"",""เบิกจ่ายกองทุน!BS80"")"),360)</f>
        <v>360</v>
      </c>
      <c r="T191" s="47">
        <f t="shared" ca="1" si="137"/>
        <v>0</v>
      </c>
      <c r="U191" s="47">
        <f t="shared" ca="1" si="138"/>
        <v>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3">L193+L194</f>
        <v>0</v>
      </c>
      <c r="M192" s="47">
        <f t="shared" ca="1" si="143"/>
        <v>0</v>
      </c>
      <c r="N192" s="47">
        <f t="shared" ca="1" si="143"/>
        <v>0</v>
      </c>
      <c r="O192" s="47">
        <f t="shared" ca="1" si="134"/>
        <v>0</v>
      </c>
      <c r="P192" s="47">
        <f t="shared" ca="1" si="135"/>
        <v>0</v>
      </c>
      <c r="Q192" s="47">
        <f t="shared" ref="Q192:S192" ca="1" si="144">Q193+Q194</f>
        <v>0</v>
      </c>
      <c r="R192" s="47">
        <f t="shared" ca="1" si="144"/>
        <v>0</v>
      </c>
      <c r="S192" s="47">
        <f t="shared" ca="1" si="144"/>
        <v>0</v>
      </c>
      <c r="T192" s="47">
        <f t="shared" ca="1" si="137"/>
        <v>0</v>
      </c>
      <c r="U192" s="47">
        <f t="shared" ca="1" si="138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4"/>
        <v>0</v>
      </c>
      <c r="P193" s="49">
        <f t="shared" si="135"/>
        <v>0</v>
      </c>
      <c r="Q193" s="49">
        <v>0</v>
      </c>
      <c r="R193" s="49">
        <v>0</v>
      </c>
      <c r="S193" s="49">
        <v>0</v>
      </c>
      <c r="T193" s="49">
        <f t="shared" si="137"/>
        <v>0</v>
      </c>
      <c r="U193" s="49">
        <f t="shared" si="138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t="shared" ca="1" si="134"/>
        <v>0</v>
      </c>
      <c r="P194" s="47">
        <f t="shared" ca="1" si="135"/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t="shared" ca="1" si="137"/>
        <v>0</v>
      </c>
      <c r="U194" s="47">
        <f t="shared" ca="1" si="138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5">I198</f>
        <v>4</v>
      </c>
      <c r="J195" s="236">
        <f t="shared" si="145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636">
        <v>5200</v>
      </c>
      <c r="O196" s="133">
        <f ca="1">IF(L196&gt;0,N196*100/L196,0)</f>
        <v>86.666666666666671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IFERROR(__xludf.DUMMYFUNCTION("IMPORTRANGE(""https://docs.google.com/spreadsheets/d/1eHaY18a8A9IcSdp1K8H6x8fbOy06t2VsZHhMHf-1x7Y/edit?usp=sharing"",""แผน!AE80"")"),4)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100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100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6">I209</f>
        <v>1</v>
      </c>
      <c r="J202" s="236">
        <f t="shared" si="146"/>
        <v>1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13000</v>
      </c>
      <c r="M203" s="46"/>
      <c r="N203" s="133">
        <f>N204+N205+N206+N207</f>
        <v>13000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0</v>
      </c>
      <c r="R203" s="180"/>
      <c r="S203" s="638">
        <f>S204+S205+S206+S207</f>
        <v>0</v>
      </c>
      <c r="T203" s="638">
        <f ca="1">IF(Q203&gt;0,S203*100/Q203,0)</f>
        <v>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639">
        <v>1000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IFERROR(__xludf.DUMMYFUNCTION("IMPORTRANGE(""https://docs.google.com/spreadsheets/d/1eHaY18a8A9IcSdp1K8H6x8fbOy06t2VsZHhMHf-1x7Y/edit?usp=sharing"",""แผน!AH80"")"),0)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639">
        <v>8000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IFERROR(__xludf.DUMMYFUNCTION("IMPORTRANGE(""https://docs.google.com/spreadsheets/d/1eHaY18a8A9IcSdp1K8H6x8fbOy06t2VsZHhMHf-1x7Y/edit?usp=sharing"",""แผน!LV80"")"),0)</f>
        <v>0</v>
      </c>
      <c r="R206" s="46"/>
      <c r="S206" s="639">
        <v>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639">
        <v>4000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IFERROR(__xludf.DUMMYFUNCTION("IMPORTRANGE(""https://docs.google.com/spreadsheets/d/1eHaY18a8A9IcSdp1K8H6x8fbOy06t2VsZHhMHf-1x7Y/edit?usp=sharing"",""แผน!AK80"")"),1)</f>
        <v>1</v>
      </c>
      <c r="J209" s="169">
        <v>1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IFERROR(__xludf.DUMMYFUNCTION("IMPORTRANGE(""https://docs.google.com/spreadsheets/d/1eHaY18a8A9IcSdp1K8H6x8fbOy06t2VsZHhMHf-1x7Y/edit?usp=sharing"",""แผน!JX80"")"),1)</f>
        <v>1</v>
      </c>
      <c r="J211" s="169">
        <v>1</v>
      </c>
      <c r="K211" s="154">
        <f t="shared" ref="K211:K213" ca="1" si="147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IFERROR(__xludf.DUMMYFUNCTION("IMPORTRANGE(""https://docs.google.com/spreadsheets/d/1eHaY18a8A9IcSdp1K8H6x8fbOy06t2VsZHhMHf-1x7Y/edit?usp=sharing"",""แผน!JY80"")"),0)</f>
        <v>0</v>
      </c>
      <c r="J212" s="169">
        <v>0</v>
      </c>
      <c r="K212" s="154">
        <f t="shared" ca="1" si="147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8">I220</f>
        <v>0</v>
      </c>
      <c r="J213" s="236">
        <f t="shared" si="148"/>
        <v>0</v>
      </c>
      <c r="K213" s="237">
        <f t="shared" ca="1" si="147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IFERROR(__xludf.DUMMYFUNCTION("IMPORTRANGE(""https://docs.google.com/spreadsheets/d/1eHaY18a8A9IcSdp1K8H6x8fbOy06t2VsZHhMHf-1x7Y/edit?usp=sharing"",""แผน!AM80"")"),0)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IFERROR(__xludf.DUMMYFUNCTION("IMPORTRANGE(""https://docs.google.com/spreadsheets/d/1eHaY18a8A9IcSdp1K8H6x8fbOy06t2VsZHhMHf-1x7Y/edit?usp=sharing"",""แผน!AN80"")"),0)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IFERROR(__xludf.DUMMYFUNCTION("IMPORTRANGE(""https://docs.google.com/spreadsheets/d/1eHaY18a8A9IcSdp1K8H6x8fbOy06t2VsZHhMHf-1x7Y/edit?usp=sharing"",""แผน!AO80"")"),0)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IFERROR(__xludf.DUMMYFUNCTION("IMPORTRANGE(""https://docs.google.com/spreadsheets/d/1eHaY18a8A9IcSdp1K8H6x8fbOy06t2VsZHhMHf-1x7Y/edit?usp=sharing"",""แผน!LY80"")"),0)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IFERROR(__xludf.DUMMYFUNCTION("IMPORTRANGE(""https://docs.google.com/spreadsheets/d/1eHaY18a8A9IcSdp1K8H6x8fbOy06t2VsZHhMHf-1x7Y/edit?usp=sharing"",""แผน!AP80"")"),0)</f>
        <v>0</v>
      </c>
      <c r="J219" s="169">
        <v>0</v>
      </c>
      <c r="K219" s="47">
        <f t="shared" ref="K219:K221" ca="1" si="149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IFERROR(__xludf.DUMMYFUNCTION("IMPORTRANGE(""https://docs.google.com/spreadsheets/d/1eHaY18a8A9IcSdp1K8H6x8fbOy06t2VsZHhMHf-1x7Y/edit?usp=sharing"",""แผน!AP80"")"),0)</f>
        <v>0</v>
      </c>
      <c r="J220" s="169">
        <v>0</v>
      </c>
      <c r="K220" s="47">
        <f t="shared" ca="1" si="149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0">I229</f>
        <v>12800</v>
      </c>
      <c r="J221" s="236">
        <f t="shared" si="150"/>
        <v>12800</v>
      </c>
      <c r="K221" s="237">
        <f t="shared" ca="1" si="149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4020</v>
      </c>
      <c r="O222" s="133">
        <f ca="1">IF(L222&gt;0,N222*100/L222,0)</f>
        <v>89.333333333333329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IFERROR(__xludf.DUMMYFUNCTION("IMPORTRANGE(""https://docs.google.com/spreadsheets/d/1eHaY18a8A9IcSdp1K8H6x8fbOy06t2VsZHhMHf-1x7Y/edit?usp=sharing"",""แผน!AR80"")"),2500)</f>
        <v>2500</v>
      </c>
      <c r="M223" s="46"/>
      <c r="N223" s="639">
        <v>1020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IFERROR(__xludf.DUMMYFUNCTION("IMPORTRANGE(""https://docs.google.com/spreadsheets/d/1eHaY18a8A9IcSdp1K8H6x8fbOy06t2VsZHhMHf-1x7Y/edit?usp=sharing"",""แผน!AS80"")"),2000)</f>
        <v>2000</v>
      </c>
      <c r="M224" s="46"/>
      <c r="N224" s="639">
        <v>3000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IFERROR(__xludf.DUMMYFUNCTION("IMPORTRANGE(""https://docs.google.com/spreadsheets/d/1eHaY18a8A9IcSdp1K8H6x8fbOy06t2VsZHhMHf-1x7Y/edit?usp=sharing"",""แผน!AT80"")"),0)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IFERROR(__xludf.DUMMYFUNCTION("IMPORTRANGE(""https://docs.google.com/spreadsheets/d/1eHaY18a8A9IcSdp1K8H6x8fbOy06t2VsZHhMHf-1x7Y/edit?usp=sharing"",""แผน!AV80"")"),12800)</f>
        <v>12800</v>
      </c>
      <c r="J228" s="169">
        <v>12800</v>
      </c>
      <c r="K228" s="154">
        <f t="shared" ref="K228:K231" ca="1" si="151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IFERROR(__xludf.DUMMYFUNCTION("IMPORTRANGE(""https://docs.google.com/spreadsheets/d/1eHaY18a8A9IcSdp1K8H6x8fbOy06t2VsZHhMHf-1x7Y/edit?usp=sharing"",""แผน!AV80"")"),12800)</f>
        <v>12800</v>
      </c>
      <c r="J229" s="169">
        <v>12800</v>
      </c>
      <c r="K229" s="154">
        <f t="shared" ca="1" si="151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IFERROR(__xludf.DUMMYFUNCTION("IMPORTRANGE(""https://docs.google.com/spreadsheets/d/1eHaY18a8A9IcSdp1K8H6x8fbOy06t2VsZHhMHf-1x7Y/edit?usp=sharing"",""แผน!AU80"")"),0)</f>
        <v>0</v>
      </c>
      <c r="J230" s="169">
        <v>0</v>
      </c>
      <c r="K230" s="154">
        <f t="shared" ca="1" si="151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2">I242+I253</f>
        <v>0</v>
      </c>
      <c r="J231" s="646">
        <f t="shared" si="152"/>
        <v>0</v>
      </c>
      <c r="K231" s="647">
        <f t="shared" ca="1" si="151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3">L243+L254</f>
        <v>0</v>
      </c>
      <c r="M232" s="46"/>
      <c r="N232" s="656">
        <f t="shared" ref="N232:N236" si="154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3"/>
        <v>0</v>
      </c>
      <c r="M233" s="46"/>
      <c r="N233" s="49">
        <f t="shared" si="154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3"/>
        <v>0</v>
      </c>
      <c r="M234" s="46"/>
      <c r="N234" s="49">
        <f t="shared" si="154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3"/>
        <v>0</v>
      </c>
      <c r="M235" s="46"/>
      <c r="N235" s="49">
        <f t="shared" si="154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3"/>
        <v>0</v>
      </c>
      <c r="M236" s="46"/>
      <c r="N236" s="49">
        <f t="shared" si="154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5">I249+I260</f>
        <v>0</v>
      </c>
      <c r="J238" s="517">
        <f t="shared" si="155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6">I251+I262</f>
        <v>0</v>
      </c>
      <c r="J240" s="517">
        <f t="shared" si="156"/>
        <v>0</v>
      </c>
      <c r="K240" s="49">
        <f t="shared" ref="K240:K242" si="157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6"/>
        <v>0</v>
      </c>
      <c r="J241" s="517">
        <f t="shared" si="156"/>
        <v>0</v>
      </c>
      <c r="K241" s="49">
        <f t="shared" si="157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8">I249</f>
        <v>0</v>
      </c>
      <c r="J242" s="646">
        <f t="shared" si="158"/>
        <v>0</v>
      </c>
      <c r="K242" s="647">
        <f t="shared" ca="1" si="157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IFERROR(__xludf.DUMMYFUNCTION("IMPORTRANGE(""https://docs.google.com/spreadsheets/d/1eHaY18a8A9IcSdp1K8H6x8fbOy06t2VsZHhMHf-1x7Y/edit?usp=sharing"",""แผน!AX80"")"),0)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IFERROR(__xludf.DUMMYFUNCTION("IMPORTRANGE(""https://docs.google.com/spreadsheets/d/1eHaY18a8A9IcSdp1K8H6x8fbOy06t2VsZHhMHf-1x7Y/edit?usp=sharing"",""แผน!AY80"")"),0)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IFERROR(__xludf.DUMMYFUNCTION("IMPORTRANGE(""https://docs.google.com/spreadsheets/d/1eHaY18a8A9IcSdp1K8H6x8fbOy06t2VsZHhMHf-1x7Y/edit?usp=sharing"",""แผน!AZ80"")"),0)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IFERROR(__xludf.DUMMYFUNCTION("IMPORTRANGE(""https://docs.google.com/spreadsheets/d/1eHaY18a8A9IcSdp1K8H6x8fbOy06t2VsZHhMHf-1x7Y/edit?usp=sharing"",""แผน!BA80"")"),0)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IFERROR(__xludf.DUMMYFUNCTION("IMPORTRANGE(""https://docs.google.com/spreadsheets/d/1eHaY18a8A9IcSdp1K8H6x8fbOy06t2VsZHhMHf-1x7Y/edit?usp=sharing"",""แผน!BG80"")"),0)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59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59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0">I260</f>
        <v>0</v>
      </c>
      <c r="J253" s="646">
        <f t="shared" si="160"/>
        <v>0</v>
      </c>
      <c r="K253" s="647">
        <f t="shared" ca="1" si="159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IFERROR(__xludf.DUMMYFUNCTION("IMPORTRANGE(""https://docs.google.com/spreadsheets/d/1eHaY18a8A9IcSdp1K8H6x8fbOy06t2VsZHhMHf-1x7Y/edit?usp=sharing"",""แผน!BB80"")"),0)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IFERROR(__xludf.DUMMYFUNCTION("IMPORTRANGE(""https://docs.google.com/spreadsheets/d/1eHaY18a8A9IcSdp1K8H6x8fbOy06t2VsZHhMHf-1x7Y/edit?usp=sharing"",""แผน!BC80"")"),0)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IFERROR(__xludf.DUMMYFUNCTION("IMPORTRANGE(""https://docs.google.com/spreadsheets/d/1eHaY18a8A9IcSdp1K8H6x8fbOy06t2VsZHhMHf-1x7Y/edit?usp=sharing"",""แผน!BD80"")"),0)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IFERROR(__xludf.DUMMYFUNCTION("IMPORTRANGE(""https://docs.google.com/spreadsheets/d/1eHaY18a8A9IcSdp1K8H6x8fbOy06t2VsZHhMHf-1x7Y/edit?usp=sharing"",""แผน!BE80"")"),0)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IFERROR(__xludf.DUMMYFUNCTION("IMPORTRANGE(""https://docs.google.com/spreadsheets/d/1eHaY18a8A9IcSdp1K8H6x8fbOy06t2VsZHhMHf-1x7Y/edit?usp=sharing"",""แผน!BH80"")"),0)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1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1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2">I276</f>
        <v>20</v>
      </c>
      <c r="J265" s="686">
        <f t="shared" si="162"/>
        <v>20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3">L267+L268</f>
        <v>5000</v>
      </c>
      <c r="M266" s="441">
        <f t="shared" ca="1" si="163"/>
        <v>25000</v>
      </c>
      <c r="N266" s="441">
        <f t="shared" ca="1" si="163"/>
        <v>25000</v>
      </c>
      <c r="O266" s="441">
        <f t="shared" ref="O266:O274" ca="1" si="164">IF(L266&gt;0,N266*100/L266,0)</f>
        <v>500</v>
      </c>
      <c r="P266" s="441">
        <f t="shared" ref="P266:P274" ca="1" si="165">IF(M266&gt;0,N266*100/M266,0)</f>
        <v>100</v>
      </c>
      <c r="Q266" s="441">
        <f t="shared" ref="Q266:S266" ca="1" si="166">Q267+Q268</f>
        <v>47880</v>
      </c>
      <c r="R266" s="441">
        <f t="shared" ca="1" si="166"/>
        <v>47880</v>
      </c>
      <c r="S266" s="441">
        <f t="shared" ca="1" si="166"/>
        <v>42740</v>
      </c>
      <c r="T266" s="441">
        <f t="shared" ref="T266:T274" ca="1" si="167">IF(Q266&gt;0,S266*100/Q266,0)</f>
        <v>89.264828738512946</v>
      </c>
      <c r="U266" s="441">
        <f t="shared" ref="U266:U274" ca="1" si="168">IF(R266&gt;0,S266*100/R266,0)</f>
        <v>89.264828738512946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69">L270+L273</f>
        <v>0</v>
      </c>
      <c r="M267" s="49">
        <f t="shared" si="169"/>
        <v>0</v>
      </c>
      <c r="N267" s="49">
        <f t="shared" si="169"/>
        <v>0</v>
      </c>
      <c r="O267" s="49">
        <f t="shared" si="164"/>
        <v>0</v>
      </c>
      <c r="P267" s="49">
        <f t="shared" si="165"/>
        <v>0</v>
      </c>
      <c r="Q267" s="49">
        <f t="shared" ref="Q267:S268" si="170">Q270+Q273</f>
        <v>0</v>
      </c>
      <c r="R267" s="49">
        <f t="shared" si="170"/>
        <v>0</v>
      </c>
      <c r="S267" s="49">
        <f t="shared" si="170"/>
        <v>0</v>
      </c>
      <c r="T267" s="49">
        <f t="shared" si="167"/>
        <v>0</v>
      </c>
      <c r="U267" s="49">
        <f t="shared" si="168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69"/>
        <v>5000</v>
      </c>
      <c r="M268" s="352">
        <f t="shared" ca="1" si="169"/>
        <v>25000</v>
      </c>
      <c r="N268" s="352">
        <f t="shared" ca="1" si="169"/>
        <v>25000</v>
      </c>
      <c r="O268" s="352">
        <f t="shared" ca="1" si="164"/>
        <v>500</v>
      </c>
      <c r="P268" s="352">
        <f t="shared" ca="1" si="165"/>
        <v>100</v>
      </c>
      <c r="Q268" s="352">
        <f t="shared" ca="1" si="170"/>
        <v>47880</v>
      </c>
      <c r="R268" s="352">
        <f t="shared" ca="1" si="170"/>
        <v>47880</v>
      </c>
      <c r="S268" s="352">
        <f t="shared" ca="1" si="170"/>
        <v>42740</v>
      </c>
      <c r="T268" s="352">
        <f t="shared" ca="1" si="167"/>
        <v>89.264828738512946</v>
      </c>
      <c r="U268" s="352">
        <f t="shared" ca="1" si="168"/>
        <v>89.264828738512946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1">L270+L271</f>
        <v>5000</v>
      </c>
      <c r="M269" s="352">
        <f t="shared" ca="1" si="171"/>
        <v>25000</v>
      </c>
      <c r="N269" s="352">
        <f t="shared" ca="1" si="171"/>
        <v>25000</v>
      </c>
      <c r="O269" s="352">
        <f t="shared" ca="1" si="164"/>
        <v>500</v>
      </c>
      <c r="P269" s="352">
        <f t="shared" ca="1" si="165"/>
        <v>100</v>
      </c>
      <c r="Q269" s="352">
        <f t="shared" ref="Q269:S269" ca="1" si="172">Q270+Q271</f>
        <v>47880</v>
      </c>
      <c r="R269" s="352">
        <f t="shared" ca="1" si="172"/>
        <v>47880</v>
      </c>
      <c r="S269" s="352">
        <f t="shared" ca="1" si="172"/>
        <v>42740</v>
      </c>
      <c r="T269" s="352">
        <f t="shared" ca="1" si="167"/>
        <v>89.264828738512946</v>
      </c>
      <c r="U269" s="352">
        <f t="shared" ca="1" si="168"/>
        <v>89.264828738512946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4"/>
        <v>0</v>
      </c>
      <c r="P270" s="49">
        <f t="shared" si="165"/>
        <v>0</v>
      </c>
      <c r="Q270" s="49">
        <v>0</v>
      </c>
      <c r="R270" s="49">
        <v>0</v>
      </c>
      <c r="S270" s="49">
        <v>0</v>
      </c>
      <c r="T270" s="49">
        <f t="shared" si="167"/>
        <v>0</v>
      </c>
      <c r="U270" s="49">
        <f t="shared" si="168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IFERROR(__xludf.DUMMYFUNCTION("IMPORTRANGE(""https://docs.google.com/spreadsheets/d/1-uDff_7J0KD5mKrp0Vvzr7lt3OU09vwQwhkpOPPYv2Y/edit?usp=sharing"",""งบพรบ!DE80"")"),5000)</f>
        <v>5000</v>
      </c>
      <c r="M271" s="352">
        <f ca="1">IFERROR(__xludf.DUMMYFUNCTION("IMPORTRANGE(""https://docs.google.com/spreadsheets/d/1-uDff_7J0KD5mKrp0Vvzr7lt3OU09vwQwhkpOPPYv2Y/edit?usp=sharing"",""งบพรบ!DJ80"")"),25000)</f>
        <v>25000</v>
      </c>
      <c r="N271" s="352">
        <f ca="1">IFERROR(__xludf.DUMMYFUNCTION("IMPORTRANGE(""https://docs.google.com/spreadsheets/d/1-uDff_7J0KD5mKrp0Vvzr7lt3OU09vwQwhkpOPPYv2Y/edit?usp=sharing"",""งบพรบ!DL80"")"),25000)</f>
        <v>25000</v>
      </c>
      <c r="O271" s="352">
        <f t="shared" ca="1" si="164"/>
        <v>500</v>
      </c>
      <c r="P271" s="352">
        <f t="shared" ca="1" si="165"/>
        <v>100</v>
      </c>
      <c r="Q271" s="352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352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352">
        <f ca="1">IFERROR(__xludf.DUMMYFUNCTION("IMPORTRANGE(""https://docs.google.com/spreadsheets/d/1ItG2mGa2ceCfYo0BwxsXqNm01IGEUdYcSSLTEv9YCik/edit?usp=sharing"",""เบิกจ่ายกองทุน!AR80"")"),42740)</f>
        <v>42740</v>
      </c>
      <c r="T271" s="352">
        <f t="shared" ca="1" si="167"/>
        <v>89.264828738512946</v>
      </c>
      <c r="U271" s="352">
        <f t="shared" ca="1" si="168"/>
        <v>89.264828738512946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3">L273+L274</f>
        <v>0</v>
      </c>
      <c r="M272" s="352">
        <f t="shared" ca="1" si="173"/>
        <v>0</v>
      </c>
      <c r="N272" s="352">
        <f t="shared" ca="1" si="173"/>
        <v>0</v>
      </c>
      <c r="O272" s="352">
        <f t="shared" ca="1" si="164"/>
        <v>0</v>
      </c>
      <c r="P272" s="352">
        <f t="shared" ca="1" si="165"/>
        <v>0</v>
      </c>
      <c r="Q272" s="352">
        <f t="shared" ref="Q272:S272" si="174">Q273+Q274</f>
        <v>0</v>
      </c>
      <c r="R272" s="352">
        <f t="shared" si="174"/>
        <v>0</v>
      </c>
      <c r="S272" s="352">
        <f t="shared" si="174"/>
        <v>0</v>
      </c>
      <c r="T272" s="352">
        <f t="shared" si="167"/>
        <v>0</v>
      </c>
      <c r="U272" s="352">
        <f t="shared" si="168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4"/>
        <v>0</v>
      </c>
      <c r="P273" s="49">
        <f t="shared" si="165"/>
        <v>0</v>
      </c>
      <c r="Q273" s="49">
        <v>0</v>
      </c>
      <c r="R273" s="49">
        <v>0</v>
      </c>
      <c r="S273" s="49">
        <v>0</v>
      </c>
      <c r="T273" s="49">
        <f t="shared" si="167"/>
        <v>0</v>
      </c>
      <c r="U273" s="49">
        <f t="shared" si="168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IFERROR(__xludf.DUMMYFUNCTION("IMPORTRANGE(""https://docs.google.com/spreadsheets/d/1-uDff_7J0KD5mKrp0Vvzr7lt3OU09vwQwhkpOPPYv2Y/edit?usp=sharing"",""งบพรบ!DH80"")"),0)</f>
        <v>0</v>
      </c>
      <c r="M274" s="352">
        <f ca="1">IFERROR(__xludf.DUMMYFUNCTION("IMPORTRANGE(""https://docs.google.com/spreadsheets/d/1-uDff_7J0KD5mKrp0Vvzr7lt3OU09vwQwhkpOPPYv2Y/edit?usp=sharing"",""งบพรบ!DK80"")"),0)</f>
        <v>0</v>
      </c>
      <c r="N274" s="352">
        <f ca="1">IFERROR(__xludf.DUMMYFUNCTION("IMPORTRANGE(""https://docs.google.com/spreadsheets/d/1-uDff_7J0KD5mKrp0Vvzr7lt3OU09vwQwhkpOPPYv2Y/edit?usp=sharing"",""งบพรบ!DM80"")"),0)</f>
        <v>0</v>
      </c>
      <c r="O274" s="352">
        <f t="shared" ca="1" si="164"/>
        <v>0</v>
      </c>
      <c r="P274" s="352">
        <f t="shared" ca="1" si="165"/>
        <v>0</v>
      </c>
      <c r="Q274" s="352">
        <v>0</v>
      </c>
      <c r="R274" s="352">
        <v>0</v>
      </c>
      <c r="S274" s="352">
        <v>0</v>
      </c>
      <c r="T274" s="352">
        <f t="shared" si="167"/>
        <v>0</v>
      </c>
      <c r="U274" s="352">
        <f t="shared" si="168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899"/>
      <c r="B276" s="900"/>
      <c r="C276" s="900"/>
      <c r="D276" s="901" t="s">
        <v>115</v>
      </c>
      <c r="E276" s="902"/>
      <c r="F276" s="902"/>
      <c r="G276" s="903"/>
      <c r="H276" s="904" t="s">
        <v>35</v>
      </c>
      <c r="I276" s="905">
        <f ca="1">IFERROR(__xludf.DUMMYFUNCTION("IMPORTRANGE(""https://docs.google.com/spreadsheets/d/1eHaY18a8A9IcSdp1K8H6x8fbOy06t2VsZHhMHf-1x7Y/edit?usp=sharing"",""แผน!EC80"")"),20)</f>
        <v>20</v>
      </c>
      <c r="J276" s="906">
        <v>20</v>
      </c>
      <c r="K276" s="907">
        <f ca="1">IF(I276&gt;0,J276*100/I276,0)</f>
        <v>100</v>
      </c>
      <c r="L276" s="742"/>
      <c r="M276" s="353"/>
      <c r="N276" s="353"/>
      <c r="O276" s="353"/>
      <c r="P276" s="353"/>
      <c r="Q276" s="353"/>
      <c r="R276" s="353"/>
      <c r="S276" s="353"/>
      <c r="T276" s="353"/>
      <c r="U276" s="353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5">I293</f>
        <v>0</v>
      </c>
      <c r="J280" s="299">
        <f t="shared" si="175"/>
        <v>0</v>
      </c>
      <c r="K280" s="300">
        <f t="shared" ref="K280:K281" ca="1" si="176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7">I292</f>
        <v>0</v>
      </c>
      <c r="J281" s="299">
        <f t="shared" si="177"/>
        <v>0</v>
      </c>
      <c r="K281" s="300">
        <f t="shared" ca="1" si="176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8">L283+L284</f>
        <v>0</v>
      </c>
      <c r="M282" s="133">
        <f t="shared" ca="1" si="178"/>
        <v>0</v>
      </c>
      <c r="N282" s="133">
        <f t="shared" ca="1" si="178"/>
        <v>0</v>
      </c>
      <c r="O282" s="133">
        <f t="shared" ref="O282:O290" ca="1" si="179">IF(L282&gt;0,N282*100/L282,0)</f>
        <v>0</v>
      </c>
      <c r="P282" s="133">
        <f t="shared" ref="P282:P290" ca="1" si="180">IF(M282&gt;0,N282*100/M282,0)</f>
        <v>0</v>
      </c>
      <c r="Q282" s="133">
        <f t="shared" ref="Q282:S282" si="181">Q283+Q284</f>
        <v>0</v>
      </c>
      <c r="R282" s="133">
        <f t="shared" si="181"/>
        <v>0</v>
      </c>
      <c r="S282" s="133">
        <f t="shared" si="181"/>
        <v>0</v>
      </c>
      <c r="T282" s="133">
        <f t="shared" ref="T282:T290" si="182">IF(Q282&gt;0,S282*100/Q282,0)</f>
        <v>0</v>
      </c>
      <c r="U282" s="133">
        <f t="shared" ref="U282:U290" si="183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4">L286+L289</f>
        <v>0</v>
      </c>
      <c r="M283" s="49">
        <f t="shared" si="184"/>
        <v>0</v>
      </c>
      <c r="N283" s="49">
        <f t="shared" si="184"/>
        <v>0</v>
      </c>
      <c r="O283" s="49">
        <f t="shared" si="179"/>
        <v>0</v>
      </c>
      <c r="P283" s="49">
        <f t="shared" si="180"/>
        <v>0</v>
      </c>
      <c r="Q283" s="49">
        <f t="shared" ref="Q283:S284" si="185">Q286+Q289</f>
        <v>0</v>
      </c>
      <c r="R283" s="49">
        <f t="shared" si="185"/>
        <v>0</v>
      </c>
      <c r="S283" s="49">
        <f t="shared" si="185"/>
        <v>0</v>
      </c>
      <c r="T283" s="49">
        <f t="shared" si="182"/>
        <v>0</v>
      </c>
      <c r="U283" s="49">
        <f t="shared" si="183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4"/>
        <v>0</v>
      </c>
      <c r="M284" s="47">
        <f t="shared" ca="1" si="184"/>
        <v>0</v>
      </c>
      <c r="N284" s="47">
        <f t="shared" ca="1" si="184"/>
        <v>0</v>
      </c>
      <c r="O284" s="47">
        <f t="shared" ca="1" si="179"/>
        <v>0</v>
      </c>
      <c r="P284" s="47">
        <f t="shared" ca="1" si="180"/>
        <v>0</v>
      </c>
      <c r="Q284" s="47">
        <f t="shared" si="185"/>
        <v>0</v>
      </c>
      <c r="R284" s="47">
        <f t="shared" si="185"/>
        <v>0</v>
      </c>
      <c r="S284" s="47">
        <f t="shared" si="185"/>
        <v>0</v>
      </c>
      <c r="T284" s="47">
        <f t="shared" si="182"/>
        <v>0</v>
      </c>
      <c r="U284" s="47">
        <f t="shared" si="183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6">L286+L287</f>
        <v>0</v>
      </c>
      <c r="M285" s="47">
        <f t="shared" ca="1" si="186"/>
        <v>0</v>
      </c>
      <c r="N285" s="47">
        <f t="shared" ca="1" si="186"/>
        <v>0</v>
      </c>
      <c r="O285" s="47">
        <f t="shared" ca="1" si="179"/>
        <v>0</v>
      </c>
      <c r="P285" s="47">
        <f t="shared" ca="1" si="180"/>
        <v>0</v>
      </c>
      <c r="Q285" s="47">
        <f t="shared" ref="Q285:S285" si="187">Q286+Q287</f>
        <v>0</v>
      </c>
      <c r="R285" s="47">
        <f t="shared" si="187"/>
        <v>0</v>
      </c>
      <c r="S285" s="47">
        <f t="shared" si="187"/>
        <v>0</v>
      </c>
      <c r="T285" s="47">
        <f t="shared" si="182"/>
        <v>0</v>
      </c>
      <c r="U285" s="47">
        <f t="shared" si="183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79"/>
        <v>0</v>
      </c>
      <c r="P286" s="49">
        <f t="shared" si="180"/>
        <v>0</v>
      </c>
      <c r="Q286" s="49">
        <v>0</v>
      </c>
      <c r="R286" s="49">
        <v>0</v>
      </c>
      <c r="S286" s="49">
        <v>0</v>
      </c>
      <c r="T286" s="49">
        <f t="shared" si="182"/>
        <v>0</v>
      </c>
      <c r="U286" s="49">
        <f t="shared" si="183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t="shared" ca="1" si="179"/>
        <v>0</v>
      </c>
      <c r="P287" s="47">
        <f t="shared" ca="1" si="180"/>
        <v>0</v>
      </c>
      <c r="Q287" s="47">
        <v>0</v>
      </c>
      <c r="R287" s="47">
        <v>0</v>
      </c>
      <c r="S287" s="47">
        <v>0</v>
      </c>
      <c r="T287" s="49">
        <f t="shared" si="182"/>
        <v>0</v>
      </c>
      <c r="U287" s="49">
        <f t="shared" si="183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8">L289+L290</f>
        <v>0</v>
      </c>
      <c r="M288" s="47">
        <f t="shared" ca="1" si="188"/>
        <v>0</v>
      </c>
      <c r="N288" s="47">
        <f t="shared" ca="1" si="188"/>
        <v>0</v>
      </c>
      <c r="O288" s="47">
        <f t="shared" ca="1" si="179"/>
        <v>0</v>
      </c>
      <c r="P288" s="47">
        <f t="shared" ca="1" si="180"/>
        <v>0</v>
      </c>
      <c r="Q288" s="47">
        <f t="shared" ref="Q288:S288" si="189">Q289+Q290</f>
        <v>0</v>
      </c>
      <c r="R288" s="47">
        <f t="shared" si="189"/>
        <v>0</v>
      </c>
      <c r="S288" s="47">
        <f t="shared" si="189"/>
        <v>0</v>
      </c>
      <c r="T288" s="47">
        <f t="shared" si="182"/>
        <v>0</v>
      </c>
      <c r="U288" s="47">
        <f t="shared" si="183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79"/>
        <v>0</v>
      </c>
      <c r="P289" s="49">
        <f t="shared" si="180"/>
        <v>0</v>
      </c>
      <c r="Q289" s="49">
        <v>0</v>
      </c>
      <c r="R289" s="49">
        <v>0</v>
      </c>
      <c r="S289" s="49">
        <v>0</v>
      </c>
      <c r="T289" s="49">
        <f t="shared" si="182"/>
        <v>0</v>
      </c>
      <c r="U289" s="49">
        <f t="shared" si="183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t="shared" ca="1" si="179"/>
        <v>0</v>
      </c>
      <c r="P290" s="47">
        <f t="shared" ca="1" si="180"/>
        <v>0</v>
      </c>
      <c r="Q290" s="47">
        <v>0</v>
      </c>
      <c r="R290" s="47">
        <v>0</v>
      </c>
      <c r="S290" s="47">
        <v>0</v>
      </c>
      <c r="T290" s="47">
        <f t="shared" si="182"/>
        <v>0</v>
      </c>
      <c r="U290" s="47">
        <f t="shared" si="183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IFERROR(__xludf.DUMMYFUNCTION("IMPORTRANGE(""https://docs.google.com/spreadsheets/d/1eHaY18a8A9IcSdp1K8H6x8fbOy06t2VsZHhMHf-1x7Y/edit?usp=sharing"",""แผน!EE80"")"),0)</f>
        <v>0</v>
      </c>
      <c r="J292" s="169">
        <v>0</v>
      </c>
      <c r="K292" s="154">
        <f t="shared" ref="K292:K293" ca="1" si="190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IFERROR(__xludf.DUMMYFUNCTION("IMPORTRANGE(""https://docs.google.com/spreadsheets/d/1eHaY18a8A9IcSdp1K8H6x8fbOy06t2VsZHhMHf-1x7Y/edit?usp=sharing"",""แผน!ED80"")"),0)</f>
        <v>0</v>
      </c>
      <c r="J293" s="371">
        <f>J296</f>
        <v>0</v>
      </c>
      <c r="K293" s="149">
        <f t="shared" ca="1" si="190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IFERROR(__xludf.DUMMYFUNCTION("IMPORTRANGE(""https://docs.google.com/spreadsheets/d/1eHaY18a8A9IcSdp1K8H6x8fbOy06t2VsZHhMHf-1x7Y/edit?usp=sharing"",""แผน!ED80"")"),0)</f>
        <v>0</v>
      </c>
      <c r="J295" s="169">
        <v>0</v>
      </c>
      <c r="K295" s="154">
        <f t="shared" ref="K295:K296" ca="1" si="191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IFERROR(__xludf.DUMMYFUNCTION("IMPORTRANGE(""https://docs.google.com/spreadsheets/d/1eHaY18a8A9IcSdp1K8H6x8fbOy06t2VsZHhMHf-1x7Y/edit?usp=sharing"",""แผน!ED80"")"),0)</f>
        <v>0</v>
      </c>
      <c r="J296" s="169">
        <v>0</v>
      </c>
      <c r="K296" s="154">
        <f t="shared" ca="1" si="191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2">I314</f>
        <v>20</v>
      </c>
      <c r="J302" s="321">
        <f t="shared" si="192"/>
        <v>20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3">L304+L305</f>
        <v>0</v>
      </c>
      <c r="M303" s="133">
        <f t="shared" ca="1" si="193"/>
        <v>0</v>
      </c>
      <c r="N303" s="133">
        <f t="shared" ca="1" si="193"/>
        <v>0</v>
      </c>
      <c r="O303" s="133">
        <f t="shared" ref="O303:O311" ca="1" si="194">IF(L303&gt;0,N303*100/L303,0)</f>
        <v>0</v>
      </c>
      <c r="P303" s="133">
        <f t="shared" ref="P303:P311" ca="1" si="195">IF(M303&gt;0,N303*100/M303,0)</f>
        <v>0</v>
      </c>
      <c r="Q303" s="133">
        <f t="shared" ref="Q303:S303" ca="1" si="196">Q304+Q305</f>
        <v>194611.99</v>
      </c>
      <c r="R303" s="133">
        <f t="shared" ca="1" si="196"/>
        <v>238812</v>
      </c>
      <c r="S303" s="133">
        <f t="shared" ca="1" si="196"/>
        <v>185552</v>
      </c>
      <c r="T303" s="133">
        <f t="shared" ref="T303:T311" ca="1" si="197">IF(Q303&gt;0,S303*100/Q303,0)</f>
        <v>95.344587967062054</v>
      </c>
      <c r="U303" s="133">
        <f t="shared" ref="U303:U311" ca="1" si="198">IF(R303&gt;0,S303*100/R303,0)</f>
        <v>77.697938127062287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199">L307+L310</f>
        <v>0</v>
      </c>
      <c r="M304" s="49">
        <f t="shared" si="199"/>
        <v>0</v>
      </c>
      <c r="N304" s="49">
        <f t="shared" si="199"/>
        <v>0</v>
      </c>
      <c r="O304" s="49">
        <f t="shared" si="194"/>
        <v>0</v>
      </c>
      <c r="P304" s="49">
        <f t="shared" si="195"/>
        <v>0</v>
      </c>
      <c r="Q304" s="49">
        <f t="shared" ref="Q304:S305" si="200">Q307+Q310</f>
        <v>0</v>
      </c>
      <c r="R304" s="49">
        <f t="shared" si="200"/>
        <v>0</v>
      </c>
      <c r="S304" s="49">
        <f t="shared" si="200"/>
        <v>0</v>
      </c>
      <c r="T304" s="49">
        <f t="shared" si="197"/>
        <v>0</v>
      </c>
      <c r="U304" s="49">
        <f t="shared" si="198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199"/>
        <v>0</v>
      </c>
      <c r="M305" s="47">
        <f t="shared" ca="1" si="199"/>
        <v>0</v>
      </c>
      <c r="N305" s="47">
        <f t="shared" ca="1" si="199"/>
        <v>0</v>
      </c>
      <c r="O305" s="47">
        <f t="shared" ca="1" si="194"/>
        <v>0</v>
      </c>
      <c r="P305" s="47">
        <f t="shared" ca="1" si="195"/>
        <v>0</v>
      </c>
      <c r="Q305" s="47">
        <f t="shared" ca="1" si="200"/>
        <v>194611.99</v>
      </c>
      <c r="R305" s="47">
        <f t="shared" ca="1" si="200"/>
        <v>238812</v>
      </c>
      <c r="S305" s="47">
        <f t="shared" ca="1" si="200"/>
        <v>185552</v>
      </c>
      <c r="T305" s="47">
        <f t="shared" ca="1" si="197"/>
        <v>95.344587967062054</v>
      </c>
      <c r="U305" s="47">
        <f t="shared" ca="1" si="198"/>
        <v>77.697938127062287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1">L307+L308</f>
        <v>0</v>
      </c>
      <c r="M306" s="47">
        <f t="shared" ca="1" si="201"/>
        <v>0</v>
      </c>
      <c r="N306" s="47">
        <f t="shared" ca="1" si="201"/>
        <v>0</v>
      </c>
      <c r="O306" s="47">
        <f t="shared" ca="1" si="194"/>
        <v>0</v>
      </c>
      <c r="P306" s="47">
        <f t="shared" ca="1" si="195"/>
        <v>0</v>
      </c>
      <c r="Q306" s="47">
        <f t="shared" ref="Q306:S306" ca="1" si="202">Q307+Q308</f>
        <v>194611.99</v>
      </c>
      <c r="R306" s="47">
        <f t="shared" ca="1" si="202"/>
        <v>238812</v>
      </c>
      <c r="S306" s="47">
        <f t="shared" ca="1" si="202"/>
        <v>185552</v>
      </c>
      <c r="T306" s="47">
        <f t="shared" ca="1" si="197"/>
        <v>95.344587967062054</v>
      </c>
      <c r="U306" s="47">
        <f t="shared" ca="1" si="198"/>
        <v>77.697938127062287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4"/>
        <v>0</v>
      </c>
      <c r="P307" s="49">
        <f t="shared" si="195"/>
        <v>0</v>
      </c>
      <c r="Q307" s="49">
        <v>0</v>
      </c>
      <c r="R307" s="49">
        <v>0</v>
      </c>
      <c r="S307" s="49">
        <v>0</v>
      </c>
      <c r="T307" s="49">
        <f t="shared" si="197"/>
        <v>0</v>
      </c>
      <c r="U307" s="49">
        <f t="shared" si="198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t="shared" ca="1" si="194"/>
        <v>0</v>
      </c>
      <c r="P308" s="47">
        <f t="shared" ca="1" si="195"/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IFERROR(__xludf.DUMMYFUNCTION("IMPORTRANGE(""https://docs.google.com/spreadsheets/d/1ItG2mGa2ceCfYo0BwxsXqNm01IGEUdYcSSLTEv9YCik/edit?usp=sharing"",""เบิกจ่ายกองทุน!BC80"")"),238812)</f>
        <v>238812</v>
      </c>
      <c r="S308" s="47">
        <f ca="1">IFERROR(__xludf.DUMMYFUNCTION("IMPORTRANGE(""https://docs.google.com/spreadsheets/d/1ItG2mGa2ceCfYo0BwxsXqNm01IGEUdYcSSLTEv9YCik/edit?usp=sharing"",""เบิกจ่ายกองทุน!BD80"")"),185552)</f>
        <v>185552</v>
      </c>
      <c r="T308" s="47">
        <f t="shared" ca="1" si="197"/>
        <v>95.344587967062054</v>
      </c>
      <c r="U308" s="47">
        <f t="shared" ca="1" si="198"/>
        <v>77.697938127062287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3">L310+L311</f>
        <v>0</v>
      </c>
      <c r="M309" s="47">
        <f t="shared" ca="1" si="203"/>
        <v>0</v>
      </c>
      <c r="N309" s="47">
        <f t="shared" ca="1" si="203"/>
        <v>0</v>
      </c>
      <c r="O309" s="47">
        <f t="shared" ca="1" si="194"/>
        <v>0</v>
      </c>
      <c r="P309" s="47">
        <f t="shared" ca="1" si="195"/>
        <v>0</v>
      </c>
      <c r="Q309" s="47">
        <f t="shared" ref="Q309:S309" si="204">Q310+Q311</f>
        <v>0</v>
      </c>
      <c r="R309" s="47">
        <f t="shared" si="204"/>
        <v>0</v>
      </c>
      <c r="S309" s="47">
        <f t="shared" si="204"/>
        <v>0</v>
      </c>
      <c r="T309" s="47">
        <f t="shared" si="197"/>
        <v>0</v>
      </c>
      <c r="U309" s="47">
        <f t="shared" si="198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4"/>
        <v>0</v>
      </c>
      <c r="P310" s="49">
        <f t="shared" si="195"/>
        <v>0</v>
      </c>
      <c r="Q310" s="49">
        <v>0</v>
      </c>
      <c r="R310" s="49">
        <v>0</v>
      </c>
      <c r="S310" s="49">
        <v>0</v>
      </c>
      <c r="T310" s="49">
        <f t="shared" si="197"/>
        <v>0</v>
      </c>
      <c r="U310" s="49">
        <f t="shared" si="198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t="shared" ca="1" si="194"/>
        <v>0</v>
      </c>
      <c r="P311" s="47">
        <f t="shared" ca="1" si="195"/>
        <v>0</v>
      </c>
      <c r="Q311" s="47">
        <v>0</v>
      </c>
      <c r="R311" s="47">
        <v>0</v>
      </c>
      <c r="S311" s="47">
        <v>0</v>
      </c>
      <c r="T311" s="47">
        <f t="shared" si="197"/>
        <v>0</v>
      </c>
      <c r="U311" s="47">
        <f t="shared" si="198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IFERROR(__xludf.DUMMYFUNCTION("IMPORTRANGE(""https://docs.google.com/spreadsheets/d/1eHaY18a8A9IcSdp1K8H6x8fbOy06t2VsZHhMHf-1x7Y/edit?usp=sharing"",""แผน!EF80"")"),20)</f>
        <v>20</v>
      </c>
      <c r="J314" s="169">
        <v>20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5">I330</f>
        <v>0</v>
      </c>
      <c r="J319" s="321">
        <f t="shared" si="205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6">L321+L322</f>
        <v>0</v>
      </c>
      <c r="M320" s="133">
        <f t="shared" ca="1" si="206"/>
        <v>0</v>
      </c>
      <c r="N320" s="133">
        <f t="shared" ca="1" si="206"/>
        <v>0</v>
      </c>
      <c r="O320" s="133">
        <f t="shared" ref="O320:O328" ca="1" si="207">IF(L320&gt;0,N320*100/L320,0)</f>
        <v>0</v>
      </c>
      <c r="P320" s="133">
        <f t="shared" ref="P320:P328" ca="1" si="208">IF(M320&gt;0,N320*100/M320,0)</f>
        <v>0</v>
      </c>
      <c r="Q320" s="133">
        <f t="shared" ref="Q320:S320" si="209">Q321+Q322</f>
        <v>0</v>
      </c>
      <c r="R320" s="133">
        <f t="shared" si="209"/>
        <v>0</v>
      </c>
      <c r="S320" s="133">
        <f t="shared" si="209"/>
        <v>0</v>
      </c>
      <c r="T320" s="133">
        <f t="shared" ref="T320:T328" si="210">IF(Q320&gt;0,S320*100/Q320,0)</f>
        <v>0</v>
      </c>
      <c r="U320" s="133">
        <f t="shared" ref="U320:U328" si="211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2">L324+L327</f>
        <v>0</v>
      </c>
      <c r="M321" s="49">
        <f t="shared" si="212"/>
        <v>0</v>
      </c>
      <c r="N321" s="49">
        <f t="shared" si="212"/>
        <v>0</v>
      </c>
      <c r="O321" s="49">
        <f t="shared" si="207"/>
        <v>0</v>
      </c>
      <c r="P321" s="49">
        <f t="shared" si="208"/>
        <v>0</v>
      </c>
      <c r="Q321" s="49">
        <f t="shared" ref="Q321:S322" si="213">Q324+Q327</f>
        <v>0</v>
      </c>
      <c r="R321" s="49">
        <f t="shared" si="213"/>
        <v>0</v>
      </c>
      <c r="S321" s="49">
        <f t="shared" si="213"/>
        <v>0</v>
      </c>
      <c r="T321" s="49">
        <f t="shared" si="210"/>
        <v>0</v>
      </c>
      <c r="U321" s="49">
        <f t="shared" si="211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2"/>
        <v>0</v>
      </c>
      <c r="M322" s="47">
        <f t="shared" ca="1" si="212"/>
        <v>0</v>
      </c>
      <c r="N322" s="47">
        <f t="shared" ca="1" si="212"/>
        <v>0</v>
      </c>
      <c r="O322" s="47">
        <f t="shared" ca="1" si="207"/>
        <v>0</v>
      </c>
      <c r="P322" s="47">
        <f t="shared" ca="1" si="208"/>
        <v>0</v>
      </c>
      <c r="Q322" s="47">
        <f t="shared" si="213"/>
        <v>0</v>
      </c>
      <c r="R322" s="47">
        <f t="shared" si="213"/>
        <v>0</v>
      </c>
      <c r="S322" s="47">
        <f t="shared" si="213"/>
        <v>0</v>
      </c>
      <c r="T322" s="47">
        <f t="shared" si="210"/>
        <v>0</v>
      </c>
      <c r="U322" s="47">
        <f t="shared" si="211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4">L324+L325</f>
        <v>0</v>
      </c>
      <c r="M323" s="47">
        <f t="shared" ca="1" si="214"/>
        <v>0</v>
      </c>
      <c r="N323" s="47">
        <f t="shared" ca="1" si="214"/>
        <v>0</v>
      </c>
      <c r="O323" s="47">
        <f t="shared" ca="1" si="207"/>
        <v>0</v>
      </c>
      <c r="P323" s="47">
        <f t="shared" ca="1" si="208"/>
        <v>0</v>
      </c>
      <c r="Q323" s="47">
        <f t="shared" ref="Q323:S323" si="215">Q324+Q325</f>
        <v>0</v>
      </c>
      <c r="R323" s="47">
        <f t="shared" si="215"/>
        <v>0</v>
      </c>
      <c r="S323" s="47">
        <f t="shared" si="215"/>
        <v>0</v>
      </c>
      <c r="T323" s="47">
        <f t="shared" si="210"/>
        <v>0</v>
      </c>
      <c r="U323" s="47">
        <f t="shared" si="211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7"/>
        <v>0</v>
      </c>
      <c r="P324" s="49">
        <f t="shared" si="208"/>
        <v>0</v>
      </c>
      <c r="Q324" s="49">
        <v>0</v>
      </c>
      <c r="R324" s="49">
        <v>0</v>
      </c>
      <c r="S324" s="49">
        <v>0</v>
      </c>
      <c r="T324" s="49">
        <f t="shared" si="210"/>
        <v>0</v>
      </c>
      <c r="U324" s="49">
        <f t="shared" si="211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t="shared" ca="1" si="207"/>
        <v>0</v>
      </c>
      <c r="P325" s="47">
        <f t="shared" ca="1" si="208"/>
        <v>0</v>
      </c>
      <c r="Q325" s="47">
        <v>0</v>
      </c>
      <c r="R325" s="47">
        <v>0</v>
      </c>
      <c r="S325" s="47">
        <v>0</v>
      </c>
      <c r="T325" s="47">
        <f t="shared" si="210"/>
        <v>0</v>
      </c>
      <c r="U325" s="47">
        <f t="shared" si="211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6">L327+L328</f>
        <v>0</v>
      </c>
      <c r="M326" s="47">
        <f t="shared" ca="1" si="216"/>
        <v>0</v>
      </c>
      <c r="N326" s="47">
        <f t="shared" ca="1" si="216"/>
        <v>0</v>
      </c>
      <c r="O326" s="47">
        <f t="shared" ca="1" si="207"/>
        <v>0</v>
      </c>
      <c r="P326" s="47">
        <f t="shared" ca="1" si="208"/>
        <v>0</v>
      </c>
      <c r="Q326" s="47">
        <f t="shared" ref="Q326:S326" si="217">Q327+Q328</f>
        <v>0</v>
      </c>
      <c r="R326" s="47">
        <f t="shared" si="217"/>
        <v>0</v>
      </c>
      <c r="S326" s="47">
        <f t="shared" si="217"/>
        <v>0</v>
      </c>
      <c r="T326" s="47">
        <f t="shared" si="210"/>
        <v>0</v>
      </c>
      <c r="U326" s="47">
        <f t="shared" si="211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7"/>
        <v>0</v>
      </c>
      <c r="P327" s="49">
        <f t="shared" si="208"/>
        <v>0</v>
      </c>
      <c r="Q327" s="49">
        <v>0</v>
      </c>
      <c r="R327" s="49">
        <v>0</v>
      </c>
      <c r="S327" s="49">
        <v>0</v>
      </c>
      <c r="T327" s="49">
        <f t="shared" si="210"/>
        <v>0</v>
      </c>
      <c r="U327" s="49">
        <f t="shared" si="211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t="shared" ca="1" si="207"/>
        <v>0</v>
      </c>
      <c r="P328" s="47">
        <f t="shared" ca="1" si="208"/>
        <v>0</v>
      </c>
      <c r="Q328" s="47">
        <v>0</v>
      </c>
      <c r="R328" s="47">
        <v>0</v>
      </c>
      <c r="S328" s="47">
        <v>0</v>
      </c>
      <c r="T328" s="47">
        <f t="shared" si="210"/>
        <v>0</v>
      </c>
      <c r="U328" s="47">
        <f t="shared" si="211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IFERROR(__xludf.DUMMYFUNCTION("IMPORTRANGE(""https://docs.google.com/spreadsheets/d/1eHaY18a8A9IcSdp1K8H6x8fbOy06t2VsZHhMHf-1x7Y/edit?usp=sharing"",""แผน!EJ80"")"),0)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IFERROR(__xludf.DUMMYFUNCTION("IMPORTRANGE(""https://docs.google.com/spreadsheets/d/1eHaY18a8A9IcSdp1K8H6x8fbOy06t2VsZHhMHf-1x7Y/edit?usp=sharing"",""แผน!EK80"")"),300)</f>
        <v>300</v>
      </c>
      <c r="J332" s="718">
        <f ca="1">J344+J347+J348+J349+J353+J354</f>
        <v>966</v>
      </c>
      <c r="K332" s="719">
        <f ca="1">IF(I332&gt;0,J332*100/I332,0)</f>
        <v>322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8">L334+L335</f>
        <v>172000</v>
      </c>
      <c r="M333" s="133">
        <f t="shared" ca="1" si="218"/>
        <v>172000</v>
      </c>
      <c r="N333" s="133">
        <f t="shared" ca="1" si="218"/>
        <v>158250</v>
      </c>
      <c r="O333" s="133">
        <f t="shared" ref="O333:O341" ca="1" si="219">IF(L333&gt;0,N333*100/L333,0)</f>
        <v>92.005813953488371</v>
      </c>
      <c r="P333" s="133">
        <f t="shared" ref="P333:P341" ca="1" si="220">IF(M333&gt;0,N333*100/M333,0)</f>
        <v>92.005813953488371</v>
      </c>
      <c r="Q333" s="133">
        <f t="shared" ref="Q333:S333" si="221">Q334+Q335</f>
        <v>0</v>
      </c>
      <c r="R333" s="133">
        <f t="shared" si="221"/>
        <v>0</v>
      </c>
      <c r="S333" s="133">
        <f t="shared" si="221"/>
        <v>0</v>
      </c>
      <c r="T333" s="133">
        <f t="shared" ref="T333:T341" si="222">IF(Q333&gt;0,S333*100/Q333,0)</f>
        <v>0</v>
      </c>
      <c r="U333" s="133">
        <f t="shared" ref="U333:U341" si="223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4">L337+L340</f>
        <v>0</v>
      </c>
      <c r="M334" s="49">
        <f t="shared" si="224"/>
        <v>0</v>
      </c>
      <c r="N334" s="49">
        <f t="shared" si="224"/>
        <v>0</v>
      </c>
      <c r="O334" s="49">
        <f t="shared" si="219"/>
        <v>0</v>
      </c>
      <c r="P334" s="49">
        <f t="shared" si="220"/>
        <v>0</v>
      </c>
      <c r="Q334" s="49">
        <f t="shared" ref="Q334:S335" si="225">Q337+Q340</f>
        <v>0</v>
      </c>
      <c r="R334" s="49">
        <f t="shared" si="225"/>
        <v>0</v>
      </c>
      <c r="S334" s="49">
        <f t="shared" si="225"/>
        <v>0</v>
      </c>
      <c r="T334" s="49">
        <f t="shared" si="222"/>
        <v>0</v>
      </c>
      <c r="U334" s="49">
        <f t="shared" si="223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4"/>
        <v>172000</v>
      </c>
      <c r="M335" s="47">
        <f t="shared" ca="1" si="224"/>
        <v>172000</v>
      </c>
      <c r="N335" s="47">
        <f t="shared" ca="1" si="224"/>
        <v>158250</v>
      </c>
      <c r="O335" s="47">
        <f t="shared" ca="1" si="219"/>
        <v>92.005813953488371</v>
      </c>
      <c r="P335" s="47">
        <f t="shared" ca="1" si="220"/>
        <v>92.005813953488371</v>
      </c>
      <c r="Q335" s="47">
        <f t="shared" si="225"/>
        <v>0</v>
      </c>
      <c r="R335" s="47">
        <f t="shared" si="225"/>
        <v>0</v>
      </c>
      <c r="S335" s="47">
        <f t="shared" si="225"/>
        <v>0</v>
      </c>
      <c r="T335" s="47">
        <f t="shared" si="222"/>
        <v>0</v>
      </c>
      <c r="U335" s="47">
        <f t="shared" si="223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6">L337+L338</f>
        <v>172000</v>
      </c>
      <c r="M336" s="47">
        <f t="shared" ca="1" si="226"/>
        <v>172000</v>
      </c>
      <c r="N336" s="47">
        <f t="shared" ca="1" si="226"/>
        <v>158250</v>
      </c>
      <c r="O336" s="47">
        <f t="shared" ca="1" si="219"/>
        <v>92.005813953488371</v>
      </c>
      <c r="P336" s="47">
        <f t="shared" ca="1" si="220"/>
        <v>92.005813953488371</v>
      </c>
      <c r="Q336" s="47">
        <f t="shared" ref="Q336:S336" si="227">Q337+Q338</f>
        <v>0</v>
      </c>
      <c r="R336" s="47">
        <f t="shared" si="227"/>
        <v>0</v>
      </c>
      <c r="S336" s="47">
        <f t="shared" si="227"/>
        <v>0</v>
      </c>
      <c r="T336" s="47">
        <f t="shared" si="222"/>
        <v>0</v>
      </c>
      <c r="U336" s="47">
        <f t="shared" si="223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19"/>
        <v>0</v>
      </c>
      <c r="P337" s="49">
        <f t="shared" si="220"/>
        <v>0</v>
      </c>
      <c r="Q337" s="49">
        <v>0</v>
      </c>
      <c r="R337" s="49">
        <v>0</v>
      </c>
      <c r="S337" s="49">
        <v>0</v>
      </c>
      <c r="T337" s="49">
        <f t="shared" si="222"/>
        <v>0</v>
      </c>
      <c r="U337" s="49">
        <f t="shared" si="223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IFERROR(__xludf.DUMMYFUNCTION("IMPORTRANGE(""https://docs.google.com/spreadsheets/d/1-uDff_7J0KD5mKrp0Vvzr7lt3OU09vwQwhkpOPPYv2Y/edit?usp=sharing"",""งบพรบ!EX80"")"),172000)</f>
        <v>172000</v>
      </c>
      <c r="N338" s="47">
        <f ca="1">IFERROR(__xludf.DUMMYFUNCTION("IMPORTRANGE(""https://docs.google.com/spreadsheets/d/1-uDff_7J0KD5mKrp0Vvzr7lt3OU09vwQwhkpOPPYv2Y/edit?usp=sharing"",""งบพรบ!EZ80"")"),158250)</f>
        <v>158250</v>
      </c>
      <c r="O338" s="47">
        <f t="shared" ca="1" si="219"/>
        <v>92.005813953488371</v>
      </c>
      <c r="P338" s="47">
        <f t="shared" ca="1" si="220"/>
        <v>92.005813953488371</v>
      </c>
      <c r="Q338" s="47">
        <v>0</v>
      </c>
      <c r="R338" s="47">
        <v>0</v>
      </c>
      <c r="S338" s="47">
        <v>0</v>
      </c>
      <c r="T338" s="47">
        <f t="shared" si="222"/>
        <v>0</v>
      </c>
      <c r="U338" s="47">
        <f t="shared" si="223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8">L340+L341</f>
        <v>0</v>
      </c>
      <c r="M339" s="47">
        <f t="shared" ca="1" si="228"/>
        <v>0</v>
      </c>
      <c r="N339" s="47">
        <f t="shared" ca="1" si="228"/>
        <v>0</v>
      </c>
      <c r="O339" s="47">
        <f t="shared" ca="1" si="219"/>
        <v>0</v>
      </c>
      <c r="P339" s="47">
        <f t="shared" ca="1" si="220"/>
        <v>0</v>
      </c>
      <c r="Q339" s="47">
        <f t="shared" ref="Q339:S339" si="229">Q340+Q341</f>
        <v>0</v>
      </c>
      <c r="R339" s="47">
        <f t="shared" si="229"/>
        <v>0</v>
      </c>
      <c r="S339" s="47">
        <f t="shared" si="229"/>
        <v>0</v>
      </c>
      <c r="T339" s="47">
        <f t="shared" si="222"/>
        <v>0</v>
      </c>
      <c r="U339" s="47">
        <f t="shared" si="223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19"/>
        <v>0</v>
      </c>
      <c r="P340" s="49">
        <f t="shared" si="220"/>
        <v>0</v>
      </c>
      <c r="Q340" s="49">
        <v>0</v>
      </c>
      <c r="R340" s="49">
        <v>0</v>
      </c>
      <c r="S340" s="49">
        <v>0</v>
      </c>
      <c r="T340" s="49">
        <f t="shared" si="222"/>
        <v>0</v>
      </c>
      <c r="U340" s="49">
        <f t="shared" si="223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t="shared" ca="1" si="219"/>
        <v>0</v>
      </c>
      <c r="P341" s="47">
        <f t="shared" ca="1" si="220"/>
        <v>0</v>
      </c>
      <c r="Q341" s="47">
        <v>0</v>
      </c>
      <c r="R341" s="47">
        <v>0</v>
      </c>
      <c r="S341" s="47">
        <v>0</v>
      </c>
      <c r="T341" s="47">
        <f t="shared" si="222"/>
        <v>0</v>
      </c>
      <c r="U341" s="47">
        <f t="shared" si="223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149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IFERROR(__xludf.DUMMYFUNCTION("IMPORTRANGE(""https://docs.google.com/spreadsheets/d/1eHaY18a8A9IcSdp1K8H6x8fbOy06t2VsZHhMHf-1x7Y/edit?usp=sharing"",""แผน!EL80"")"),2)</f>
        <v>2</v>
      </c>
      <c r="J346" s="37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100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817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IFERROR(__xludf.DUMMYFUNCTION("IMPORTRANGE(""https://docs.google.com/spreadsheets/d/1awYsYK3VOup2i3Pq_Yjnu8DRu_mYwSBnCR2QPthd0rU/edit?usp=sharing"",""โฉนดM3!G80"")"),44)</f>
        <v>44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IFERROR(__xludf.DUMMYFUNCTION("IMPORTRANGE(""https://docs.google.com/spreadsheets/d/1awYsYK3VOup2i3Pq_Yjnu8DRu_mYwSBnCR2QPthd0rU/edit?usp=sharing"",""โฉนดM3!H80"")"),301)</f>
        <v>301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IFERROR(__xludf.DUMMYFUNCTION("IMPORTRANGE(""https://docs.google.com/spreadsheets/d/1awYsYK3VOup2i3Pq_Yjnu8DRu_mYwSBnCR2QPthd0rU/edit?usp=sharing"",""โฉนดM3!I80"")"),516)</f>
        <v>516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0">L357+L358</f>
        <v>847300</v>
      </c>
      <c r="M356" s="133">
        <f t="shared" ca="1" si="230"/>
        <v>925300</v>
      </c>
      <c r="N356" s="133">
        <f t="shared" ca="1" si="230"/>
        <v>831897.11</v>
      </c>
      <c r="O356" s="133">
        <f t="shared" ref="O356:O364" ca="1" si="231">IF(L356&gt;0,N356*100/L356,0)</f>
        <v>98.182120854478939</v>
      </c>
      <c r="P356" s="133">
        <f t="shared" ref="P356:P364" ca="1" si="232">IF(M356&gt;0,N356*100/M356,0)</f>
        <v>89.905664108937643</v>
      </c>
      <c r="Q356" s="133">
        <f t="shared" ref="Q356:S356" si="233">Q357+Q358</f>
        <v>0</v>
      </c>
      <c r="R356" s="133">
        <f t="shared" si="233"/>
        <v>0</v>
      </c>
      <c r="S356" s="133">
        <f t="shared" si="233"/>
        <v>0</v>
      </c>
      <c r="T356" s="133">
        <f t="shared" ref="T356:T364" si="234">IF(Q356&gt;0,S356*100/Q356,0)</f>
        <v>0</v>
      </c>
      <c r="U356" s="133">
        <f t="shared" ref="U356:U364" si="235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6">L360+L363</f>
        <v>0</v>
      </c>
      <c r="M357" s="49">
        <f t="shared" si="236"/>
        <v>0</v>
      </c>
      <c r="N357" s="49">
        <f t="shared" si="236"/>
        <v>0</v>
      </c>
      <c r="O357" s="49">
        <f t="shared" si="231"/>
        <v>0</v>
      </c>
      <c r="P357" s="49">
        <f t="shared" si="232"/>
        <v>0</v>
      </c>
      <c r="Q357" s="49">
        <f t="shared" ref="Q357:S358" si="237">Q360+Q363</f>
        <v>0</v>
      </c>
      <c r="R357" s="49">
        <f t="shared" si="237"/>
        <v>0</v>
      </c>
      <c r="S357" s="49">
        <f t="shared" si="237"/>
        <v>0</v>
      </c>
      <c r="T357" s="49">
        <f t="shared" si="234"/>
        <v>0</v>
      </c>
      <c r="U357" s="49">
        <f t="shared" si="235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6"/>
        <v>847300</v>
      </c>
      <c r="M358" s="47">
        <f t="shared" ca="1" si="236"/>
        <v>925300</v>
      </c>
      <c r="N358" s="47">
        <f t="shared" ca="1" si="236"/>
        <v>831897.11</v>
      </c>
      <c r="O358" s="47">
        <f t="shared" ca="1" si="231"/>
        <v>98.182120854478939</v>
      </c>
      <c r="P358" s="47">
        <f t="shared" ca="1" si="232"/>
        <v>89.905664108937643</v>
      </c>
      <c r="Q358" s="47">
        <f t="shared" si="237"/>
        <v>0</v>
      </c>
      <c r="R358" s="47">
        <f t="shared" si="237"/>
        <v>0</v>
      </c>
      <c r="S358" s="47">
        <f t="shared" si="237"/>
        <v>0</v>
      </c>
      <c r="T358" s="47">
        <f t="shared" si="234"/>
        <v>0</v>
      </c>
      <c r="U358" s="47">
        <f t="shared" si="235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8">L360+L361</f>
        <v>847300</v>
      </c>
      <c r="M359" s="47">
        <f t="shared" ca="1" si="238"/>
        <v>925300</v>
      </c>
      <c r="N359" s="47">
        <f t="shared" ca="1" si="238"/>
        <v>831897.11</v>
      </c>
      <c r="O359" s="47">
        <f t="shared" ca="1" si="231"/>
        <v>98.182120854478939</v>
      </c>
      <c r="P359" s="47">
        <f t="shared" ca="1" si="232"/>
        <v>89.905664108937643</v>
      </c>
      <c r="Q359" s="47">
        <f t="shared" ref="Q359:S359" si="239">Q360+Q361</f>
        <v>0</v>
      </c>
      <c r="R359" s="47">
        <f t="shared" si="239"/>
        <v>0</v>
      </c>
      <c r="S359" s="47">
        <f t="shared" si="239"/>
        <v>0</v>
      </c>
      <c r="T359" s="47">
        <f t="shared" si="234"/>
        <v>0</v>
      </c>
      <c r="U359" s="47">
        <f t="shared" si="235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1"/>
        <v>0</v>
      </c>
      <c r="P360" s="49">
        <f t="shared" si="232"/>
        <v>0</v>
      </c>
      <c r="Q360" s="49">
        <v>0</v>
      </c>
      <c r="R360" s="49">
        <v>0</v>
      </c>
      <c r="S360" s="49">
        <v>0</v>
      </c>
      <c r="T360" s="49">
        <f t="shared" si="234"/>
        <v>0</v>
      </c>
      <c r="U360" s="49">
        <f t="shared" si="235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IFERROR(__xludf.DUMMYFUNCTION("IMPORTRANGE(""https://docs.google.com/spreadsheets/d/1-uDff_7J0KD5mKrp0Vvzr7lt3OU09vwQwhkpOPPYv2Y/edit?usp=sharing"",""งบพรบ!FH80"")"),925300)</f>
        <v>925300</v>
      </c>
      <c r="N361" s="47">
        <f ca="1">IFERROR(__xludf.DUMMYFUNCTION("IMPORTRANGE(""https://docs.google.com/spreadsheets/d/1-uDff_7J0KD5mKrp0Vvzr7lt3OU09vwQwhkpOPPYv2Y/edit?usp=sharing"",""งบพรบ!FJ80"")"),831897.11)</f>
        <v>831897.11</v>
      </c>
      <c r="O361" s="47">
        <f t="shared" ca="1" si="231"/>
        <v>98.182120854478939</v>
      </c>
      <c r="P361" s="47">
        <f t="shared" ca="1" si="232"/>
        <v>89.905664108937643</v>
      </c>
      <c r="Q361" s="47">
        <v>0</v>
      </c>
      <c r="R361" s="47">
        <v>0</v>
      </c>
      <c r="S361" s="47">
        <v>0</v>
      </c>
      <c r="T361" s="47">
        <f t="shared" si="234"/>
        <v>0</v>
      </c>
      <c r="U361" s="47">
        <f t="shared" si="235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0">L363+L364</f>
        <v>0</v>
      </c>
      <c r="M362" s="47">
        <f t="shared" ca="1" si="240"/>
        <v>0</v>
      </c>
      <c r="N362" s="47">
        <f t="shared" ca="1" si="240"/>
        <v>0</v>
      </c>
      <c r="O362" s="47">
        <f t="shared" ca="1" si="231"/>
        <v>0</v>
      </c>
      <c r="P362" s="47">
        <f t="shared" ca="1" si="232"/>
        <v>0</v>
      </c>
      <c r="Q362" s="47">
        <f t="shared" ref="Q362:S362" si="241">Q363+Q364</f>
        <v>0</v>
      </c>
      <c r="R362" s="47">
        <f t="shared" si="241"/>
        <v>0</v>
      </c>
      <c r="S362" s="47">
        <f t="shared" si="241"/>
        <v>0</v>
      </c>
      <c r="T362" s="47">
        <f t="shared" si="234"/>
        <v>0</v>
      </c>
      <c r="U362" s="47">
        <f t="shared" si="235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1"/>
        <v>0</v>
      </c>
      <c r="P363" s="49">
        <f t="shared" si="232"/>
        <v>0</v>
      </c>
      <c r="Q363" s="49">
        <v>0</v>
      </c>
      <c r="R363" s="49">
        <v>0</v>
      </c>
      <c r="S363" s="49">
        <v>0</v>
      </c>
      <c r="T363" s="49">
        <f t="shared" si="234"/>
        <v>0</v>
      </c>
      <c r="U363" s="49">
        <f t="shared" si="235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t="shared" ca="1" si="231"/>
        <v>0</v>
      </c>
      <c r="P364" s="47">
        <f t="shared" ca="1" si="232"/>
        <v>0</v>
      </c>
      <c r="Q364" s="47">
        <v>0</v>
      </c>
      <c r="R364" s="47">
        <v>0</v>
      </c>
      <c r="S364" s="47">
        <v>0</v>
      </c>
      <c r="T364" s="47">
        <f t="shared" si="234"/>
        <v>0</v>
      </c>
      <c r="U364" s="47">
        <f t="shared" si="235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2">I371</f>
        <v>32</v>
      </c>
      <c r="J365" s="236">
        <f t="shared" ca="1" si="242"/>
        <v>73</v>
      </c>
      <c r="K365" s="237">
        <f ca="1">IF(I365&gt;0,J365*100/I365,0)</f>
        <v>228.125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IFERROR(__xludf.DUMMYFUNCTION("IMPORTRANGE(""https://docs.google.com/spreadsheets/d/1tdoBKaGub7dwA3U6UFTqxio9LNnvDCQjHKmttSEBsFQ/edit?usp=sharing"",""จัดที่ดิน!AB80"")"),43)</f>
        <v>43</v>
      </c>
      <c r="K367" s="47">
        <f t="shared" ref="K367:K372" si="243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IFERROR(__xludf.DUMMYFUNCTION("IMPORTRANGE(""https://docs.google.com/spreadsheets/d/1eHaY18a8A9IcSdp1K8H6x8fbOy06t2VsZHhMHf-1x7Y/edit?usp=sharing"",""แผน!EW80"")"),185)</f>
        <v>185</v>
      </c>
      <c r="J368" s="729">
        <f ca="1">IFERROR(__xludf.DUMMYFUNCTION("IMPORTRANGE(""https://docs.google.com/spreadsheets/d/1tdoBKaGub7dwA3U6UFTqxio9LNnvDCQjHKmttSEBsFQ/edit?usp=sharing"",""จัดที่ดิน!AC80"")"),177.75)</f>
        <v>177.75</v>
      </c>
      <c r="K368" s="47">
        <f t="shared" ca="1" si="243"/>
        <v>96.081081081081081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IFERROR(__xludf.DUMMYFUNCTION("IMPORTRANGE(""https://docs.google.com/spreadsheets/d/1eHaY18a8A9IcSdp1K8H6x8fbOy06t2VsZHhMHf-1x7Y/edit?usp=sharing"",""แผน!EX80"")"),32)</f>
        <v>32</v>
      </c>
      <c r="J369" s="372">
        <f ca="1">IFERROR(__xludf.DUMMYFUNCTION("IMPORTRANGE(""https://docs.google.com/spreadsheets/d/1tdoBKaGub7dwA3U6UFTqxio9LNnvDCQjHKmttSEBsFQ/edit?usp=sharing"",""จัดที่ดิน!AD80"")"),102)</f>
        <v>102</v>
      </c>
      <c r="K369" s="47">
        <f t="shared" ca="1" si="243"/>
        <v>318.75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IFERROR(__xludf.DUMMYFUNCTION("IMPORTRANGE(""https://docs.google.com/spreadsheets/d/1tdoBKaGub7dwA3U6UFTqxio9LNnvDCQjHKmttSEBsFQ/edit?usp=sharing"",""จัดที่ดิน!AE80"")"),525.68)</f>
        <v>525.67999999999995</v>
      </c>
      <c r="K370" s="47">
        <f t="shared" si="243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IFERROR(__xludf.DUMMYFUNCTION("IMPORTRANGE(""https://docs.google.com/spreadsheets/d/1eHaY18a8A9IcSdp1K8H6x8fbOy06t2VsZHhMHf-1x7Y/edit?usp=sharing"",""แผน!EY80"")"),32)</f>
        <v>32</v>
      </c>
      <c r="J371" s="372">
        <f ca="1">IFERROR(__xludf.DUMMYFUNCTION("IMPORTRANGE(""https://docs.google.com/spreadsheets/d/1tdoBKaGub7dwA3U6UFTqxio9LNnvDCQjHKmttSEBsFQ/edit?usp=sharing"",""จัดที่ดิน!AF80"")"),73)</f>
        <v>73</v>
      </c>
      <c r="K371" s="47">
        <f t="shared" ca="1" si="243"/>
        <v>228.125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IFERROR(__xludf.DUMMYFUNCTION("IMPORTRANGE(""https://docs.google.com/spreadsheets/d/1tdoBKaGub7dwA3U6UFTqxio9LNnvDCQjHKmttSEBsFQ/edit?usp=sharing"",""จัดที่ดิน!AG80"")"),405.68)</f>
        <v>405.68</v>
      </c>
      <c r="K372" s="47">
        <f t="shared" si="243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4">I386+I388</f>
        <v>300</v>
      </c>
      <c r="J374" s="737">
        <f t="shared" ca="1" si="244"/>
        <v>152</v>
      </c>
      <c r="K374" s="738">
        <f ca="1">IF(I374&gt;0,J374*100/I374,0)</f>
        <v>50.666666666666664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5">L376+L377</f>
        <v>45100</v>
      </c>
      <c r="M375" s="133">
        <f t="shared" ca="1" si="245"/>
        <v>45100</v>
      </c>
      <c r="N375" s="133">
        <f t="shared" ca="1" si="245"/>
        <v>33129</v>
      </c>
      <c r="O375" s="133">
        <f t="shared" ref="O375:O383" ca="1" si="246">IF(L375&gt;0,N375*100/L375,0)</f>
        <v>73.456762749445673</v>
      </c>
      <c r="P375" s="133">
        <f t="shared" ref="P375:P383" ca="1" si="247">IF(M375&gt;0,N375*100/M375,0)</f>
        <v>73.456762749445673</v>
      </c>
      <c r="Q375" s="133">
        <f t="shared" ref="Q375:S375" ca="1" si="248">Q376+Q377</f>
        <v>18750</v>
      </c>
      <c r="R375" s="133">
        <f t="shared" ca="1" si="248"/>
        <v>18750</v>
      </c>
      <c r="S375" s="133">
        <f t="shared" ca="1" si="248"/>
        <v>0</v>
      </c>
      <c r="T375" s="133">
        <f t="shared" ref="T375:T383" ca="1" si="249">IF(Q375&gt;0,S375*100/Q375,0)</f>
        <v>0</v>
      </c>
      <c r="U375" s="133">
        <f t="shared" ref="U375:U383" ca="1" si="250">IF(R375&gt;0,S375*100/R375,0)</f>
        <v>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1">L379+L382</f>
        <v>0</v>
      </c>
      <c r="M376" s="49">
        <f t="shared" si="251"/>
        <v>0</v>
      </c>
      <c r="N376" s="49">
        <f t="shared" si="251"/>
        <v>0</v>
      </c>
      <c r="O376" s="49">
        <f t="shared" si="246"/>
        <v>0</v>
      </c>
      <c r="P376" s="49">
        <f t="shared" si="247"/>
        <v>0</v>
      </c>
      <c r="Q376" s="49">
        <f t="shared" ref="Q376:S377" si="252">Q379+Q382</f>
        <v>0</v>
      </c>
      <c r="R376" s="49">
        <f t="shared" si="252"/>
        <v>0</v>
      </c>
      <c r="S376" s="49">
        <f t="shared" si="252"/>
        <v>0</v>
      </c>
      <c r="T376" s="49">
        <f t="shared" si="249"/>
        <v>0</v>
      </c>
      <c r="U376" s="49">
        <f t="shared" si="250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1"/>
        <v>45100</v>
      </c>
      <c r="M377" s="47">
        <f t="shared" ca="1" si="251"/>
        <v>45100</v>
      </c>
      <c r="N377" s="47">
        <f t="shared" ca="1" si="251"/>
        <v>33129</v>
      </c>
      <c r="O377" s="47">
        <f t="shared" ca="1" si="246"/>
        <v>73.456762749445673</v>
      </c>
      <c r="P377" s="47">
        <f t="shared" ca="1" si="247"/>
        <v>73.456762749445673</v>
      </c>
      <c r="Q377" s="47">
        <f t="shared" ca="1" si="252"/>
        <v>18750</v>
      </c>
      <c r="R377" s="47">
        <f t="shared" ca="1" si="252"/>
        <v>18750</v>
      </c>
      <c r="S377" s="47">
        <f t="shared" ca="1" si="252"/>
        <v>0</v>
      </c>
      <c r="T377" s="47">
        <f t="shared" ca="1" si="249"/>
        <v>0</v>
      </c>
      <c r="U377" s="47">
        <f t="shared" ca="1" si="250"/>
        <v>0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3">L379+L380</f>
        <v>45100</v>
      </c>
      <c r="M378" s="47">
        <f t="shared" ca="1" si="253"/>
        <v>45100</v>
      </c>
      <c r="N378" s="47">
        <f t="shared" ca="1" si="253"/>
        <v>33129</v>
      </c>
      <c r="O378" s="47">
        <f t="shared" ca="1" si="246"/>
        <v>73.456762749445673</v>
      </c>
      <c r="P378" s="47">
        <f t="shared" ca="1" si="247"/>
        <v>73.456762749445673</v>
      </c>
      <c r="Q378" s="47">
        <f t="shared" ref="Q378:S378" ca="1" si="254">Q379+Q380</f>
        <v>18750</v>
      </c>
      <c r="R378" s="47">
        <f t="shared" ca="1" si="254"/>
        <v>18750</v>
      </c>
      <c r="S378" s="47">
        <f t="shared" ca="1" si="254"/>
        <v>0</v>
      </c>
      <c r="T378" s="47">
        <f t="shared" ca="1" si="249"/>
        <v>0</v>
      </c>
      <c r="U378" s="47">
        <f t="shared" ca="1" si="250"/>
        <v>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6"/>
        <v>0</v>
      </c>
      <c r="P379" s="49">
        <f t="shared" si="247"/>
        <v>0</v>
      </c>
      <c r="Q379" s="49">
        <v>0</v>
      </c>
      <c r="R379" s="49">
        <v>0</v>
      </c>
      <c r="S379" s="49">
        <v>0</v>
      </c>
      <c r="T379" s="49">
        <f t="shared" si="249"/>
        <v>0</v>
      </c>
      <c r="U379" s="49">
        <f t="shared" si="250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IFERROR(__xludf.DUMMYFUNCTION("IMPORTRANGE(""https://docs.google.com/spreadsheets/d/1-uDff_7J0KD5mKrp0Vvzr7lt3OU09vwQwhkpOPPYv2Y/edit?usp=sharing"",""งบพรบ!IL80"")"),33129)</f>
        <v>33129</v>
      </c>
      <c r="O380" s="47">
        <f t="shared" ca="1" si="246"/>
        <v>73.456762749445673</v>
      </c>
      <c r="P380" s="47">
        <f t="shared" ca="1" si="247"/>
        <v>73.456762749445673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t="shared" ca="1" si="249"/>
        <v>0</v>
      </c>
      <c r="U380" s="47">
        <f t="shared" ca="1" si="250"/>
        <v>0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5">L382+L383</f>
        <v>0</v>
      </c>
      <c r="M381" s="47">
        <f t="shared" ca="1" si="255"/>
        <v>0</v>
      </c>
      <c r="N381" s="47">
        <f t="shared" ca="1" si="255"/>
        <v>0</v>
      </c>
      <c r="O381" s="47">
        <f t="shared" ca="1" si="246"/>
        <v>0</v>
      </c>
      <c r="P381" s="47">
        <f t="shared" ca="1" si="247"/>
        <v>0</v>
      </c>
      <c r="Q381" s="47">
        <f t="shared" ref="Q381:S381" si="256">Q382+Q383</f>
        <v>0</v>
      </c>
      <c r="R381" s="47">
        <f t="shared" si="256"/>
        <v>0</v>
      </c>
      <c r="S381" s="47">
        <f t="shared" si="256"/>
        <v>0</v>
      </c>
      <c r="T381" s="47">
        <f t="shared" si="249"/>
        <v>0</v>
      </c>
      <c r="U381" s="47">
        <f t="shared" si="250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6"/>
        <v>0</v>
      </c>
      <c r="P382" s="49">
        <f t="shared" si="247"/>
        <v>0</v>
      </c>
      <c r="Q382" s="49">
        <v>0</v>
      </c>
      <c r="R382" s="49">
        <v>0</v>
      </c>
      <c r="S382" s="49">
        <v>0</v>
      </c>
      <c r="T382" s="49">
        <f t="shared" si="249"/>
        <v>0</v>
      </c>
      <c r="U382" s="49">
        <f t="shared" si="250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t="shared" ca="1" si="246"/>
        <v>0</v>
      </c>
      <c r="P383" s="47">
        <f t="shared" ca="1" si="247"/>
        <v>0</v>
      </c>
      <c r="Q383" s="47">
        <v>0</v>
      </c>
      <c r="R383" s="47">
        <v>0</v>
      </c>
      <c r="S383" s="47">
        <v>0</v>
      </c>
      <c r="T383" s="47">
        <f t="shared" si="249"/>
        <v>0</v>
      </c>
      <c r="U383" s="47">
        <f t="shared" si="250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IFERROR(__xludf.DUMMYFUNCTION("IMPORTRANGE(""https://docs.google.com/spreadsheets/d/1w5rwWK1o49a35cNtocGL0gxDwhFSTZUQu90BiH9_zqM/edit?usp=sharing"",""RTK!H80"")"),25)</f>
        <v>25</v>
      </c>
      <c r="K385" s="47">
        <f t="shared" ref="K385:K388" si="257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IFERROR(__xludf.DUMMYFUNCTION("IMPORTRANGE(""https://docs.google.com/spreadsheets/d/1w5rwWK1o49a35cNtocGL0gxDwhFSTZUQu90BiH9_zqM/edit?usp=sharing"",""RTK!G80"")"),300)</f>
        <v>300</v>
      </c>
      <c r="J386" s="372">
        <f ca="1">IFERROR(__xludf.DUMMYFUNCTION("IMPORTRANGE(""https://docs.google.com/spreadsheets/d/1w5rwWK1o49a35cNtocGL0gxDwhFSTZUQu90BiH9_zqM/edit?usp=sharing"",""RTK!I80"")"),152)</f>
        <v>152</v>
      </c>
      <c r="K386" s="47">
        <f t="shared" ca="1" si="257"/>
        <v>50.666666666666664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IFERROR(__xludf.DUMMYFUNCTION("IMPORTRANGE(""https://docs.google.com/spreadsheets/d/1w5rwWK1o49a35cNtocGL0gxDwhFSTZUQu90BiH9_zqM/edit?usp=sharing"",""RTK!L80"")"),0)</f>
        <v>0</v>
      </c>
      <c r="K387" s="352">
        <f t="shared" si="257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IFERROR(__xludf.DUMMYFUNCTION("IMPORTRANGE(""https://docs.google.com/spreadsheets/d/1w5rwWK1o49a35cNtocGL0gxDwhFSTZUQu90BiH9_zqM/edit?usp=sharing"",""RTK!K80"")"),0)</f>
        <v>0</v>
      </c>
      <c r="J388" s="351">
        <f ca="1">IFERROR(__xludf.DUMMYFUNCTION("IMPORTRANGE(""https://docs.google.com/spreadsheets/d/1w5rwWK1o49a35cNtocGL0gxDwhFSTZUQu90BiH9_zqM/edit?usp=sharing"",""RTK!M80"")"),0)</f>
        <v>0</v>
      </c>
      <c r="K388" s="352">
        <f t="shared" ca="1" si="257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8">I402</f>
        <v>0</v>
      </c>
      <c r="J391" s="339">
        <f t="shared" si="258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59">L393+L394</f>
        <v>0</v>
      </c>
      <c r="M392" s="133">
        <f t="shared" si="259"/>
        <v>0</v>
      </c>
      <c r="N392" s="133">
        <f t="shared" si="259"/>
        <v>0</v>
      </c>
      <c r="O392" s="133">
        <f t="shared" ref="O392:O400" si="260">IF(L392&gt;0,N392*100/L392,0)</f>
        <v>0</v>
      </c>
      <c r="P392" s="133">
        <f t="shared" ref="P392:P400" si="261">IF(M392&gt;0,N392*100/M392,0)</f>
        <v>0</v>
      </c>
      <c r="Q392" s="133">
        <f t="shared" ref="Q392:S392" ca="1" si="262">Q393+Q394</f>
        <v>0</v>
      </c>
      <c r="R392" s="133">
        <f t="shared" ca="1" si="262"/>
        <v>0</v>
      </c>
      <c r="S392" s="133">
        <f t="shared" ca="1" si="262"/>
        <v>0</v>
      </c>
      <c r="T392" s="133">
        <f t="shared" ref="T392:T400" ca="1" si="263">IF(Q392&gt;0,S392*100/Q392,0)</f>
        <v>0</v>
      </c>
      <c r="U392" s="133">
        <f t="shared" ref="U392:U400" ca="1" si="264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5">L396+L399</f>
        <v>0</v>
      </c>
      <c r="M393" s="49">
        <f t="shared" si="265"/>
        <v>0</v>
      </c>
      <c r="N393" s="49">
        <f t="shared" si="265"/>
        <v>0</v>
      </c>
      <c r="O393" s="49">
        <f t="shared" si="260"/>
        <v>0</v>
      </c>
      <c r="P393" s="49">
        <f t="shared" si="261"/>
        <v>0</v>
      </c>
      <c r="Q393" s="49">
        <f t="shared" ref="Q393:S394" si="266">Q396+Q399</f>
        <v>0</v>
      </c>
      <c r="R393" s="49">
        <f t="shared" si="266"/>
        <v>0</v>
      </c>
      <c r="S393" s="49">
        <f t="shared" si="266"/>
        <v>0</v>
      </c>
      <c r="T393" s="49">
        <f t="shared" si="263"/>
        <v>0</v>
      </c>
      <c r="U393" s="49">
        <f t="shared" si="264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5"/>
        <v>0</v>
      </c>
      <c r="M394" s="47">
        <f t="shared" si="265"/>
        <v>0</v>
      </c>
      <c r="N394" s="47">
        <f t="shared" si="265"/>
        <v>0</v>
      </c>
      <c r="O394" s="47">
        <f t="shared" si="260"/>
        <v>0</v>
      </c>
      <c r="P394" s="47">
        <f t="shared" si="261"/>
        <v>0</v>
      </c>
      <c r="Q394" s="47">
        <f t="shared" ca="1" si="266"/>
        <v>0</v>
      </c>
      <c r="R394" s="47">
        <f t="shared" ca="1" si="266"/>
        <v>0</v>
      </c>
      <c r="S394" s="47">
        <f t="shared" ca="1" si="266"/>
        <v>0</v>
      </c>
      <c r="T394" s="47">
        <f t="shared" ca="1" si="263"/>
        <v>0</v>
      </c>
      <c r="U394" s="47">
        <f t="shared" ca="1" si="264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7">L396+L397</f>
        <v>0</v>
      </c>
      <c r="M395" s="47">
        <f t="shared" si="267"/>
        <v>0</v>
      </c>
      <c r="N395" s="47">
        <f t="shared" si="267"/>
        <v>0</v>
      </c>
      <c r="O395" s="47">
        <f t="shared" si="260"/>
        <v>0</v>
      </c>
      <c r="P395" s="47">
        <f t="shared" si="261"/>
        <v>0</v>
      </c>
      <c r="Q395" s="47">
        <f t="shared" ref="Q395:S395" ca="1" si="268">Q396+Q397</f>
        <v>0</v>
      </c>
      <c r="R395" s="47">
        <f t="shared" ca="1" si="268"/>
        <v>0</v>
      </c>
      <c r="S395" s="47">
        <f t="shared" ca="1" si="268"/>
        <v>0</v>
      </c>
      <c r="T395" s="47">
        <f t="shared" ca="1" si="263"/>
        <v>0</v>
      </c>
      <c r="U395" s="47">
        <f t="shared" ca="1" si="264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0"/>
        <v>0</v>
      </c>
      <c r="P396" s="49">
        <f t="shared" si="261"/>
        <v>0</v>
      </c>
      <c r="Q396" s="49">
        <v>0</v>
      </c>
      <c r="R396" s="49">
        <v>0</v>
      </c>
      <c r="S396" s="49">
        <v>0</v>
      </c>
      <c r="T396" s="49">
        <f t="shared" si="263"/>
        <v>0</v>
      </c>
      <c r="U396" s="49">
        <f t="shared" si="264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0"/>
        <v>0</v>
      </c>
      <c r="P397" s="47">
        <f t="shared" si="261"/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t="shared" ca="1" si="263"/>
        <v>0</v>
      </c>
      <c r="U397" s="47">
        <f t="shared" ca="1" si="264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69">L399+L400</f>
        <v>0</v>
      </c>
      <c r="M398" s="47">
        <f t="shared" si="269"/>
        <v>0</v>
      </c>
      <c r="N398" s="47">
        <f t="shared" si="269"/>
        <v>0</v>
      </c>
      <c r="O398" s="47">
        <f t="shared" si="260"/>
        <v>0</v>
      </c>
      <c r="P398" s="47">
        <f t="shared" si="261"/>
        <v>0</v>
      </c>
      <c r="Q398" s="47">
        <f t="shared" ref="Q398:S398" si="270">Q399+Q400</f>
        <v>0</v>
      </c>
      <c r="R398" s="47">
        <f t="shared" si="270"/>
        <v>0</v>
      </c>
      <c r="S398" s="47">
        <f t="shared" si="270"/>
        <v>0</v>
      </c>
      <c r="T398" s="47">
        <f t="shared" si="263"/>
        <v>0</v>
      </c>
      <c r="U398" s="47">
        <f t="shared" si="264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0"/>
        <v>0</v>
      </c>
      <c r="P399" s="49">
        <f t="shared" si="261"/>
        <v>0</v>
      </c>
      <c r="Q399" s="49">
        <v>0</v>
      </c>
      <c r="R399" s="49">
        <v>0</v>
      </c>
      <c r="S399" s="49">
        <v>0</v>
      </c>
      <c r="T399" s="49">
        <f t="shared" si="263"/>
        <v>0</v>
      </c>
      <c r="U399" s="49">
        <f t="shared" si="264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0"/>
        <v>0</v>
      </c>
      <c r="P400" s="47">
        <f t="shared" si="261"/>
        <v>0</v>
      </c>
      <c r="Q400" s="47">
        <v>0</v>
      </c>
      <c r="R400" s="47">
        <v>0</v>
      </c>
      <c r="S400" s="47">
        <v>0</v>
      </c>
      <c r="T400" s="47">
        <f t="shared" si="263"/>
        <v>0</v>
      </c>
      <c r="U400" s="47">
        <f t="shared" si="264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hidden="1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1">I423</f>
        <v>0</v>
      </c>
      <c r="J412" s="321">
        <f t="shared" si="271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hidden="1" x14ac:dyDescent="0.3">
      <c r="A413" s="129"/>
      <c r="B413" s="160"/>
      <c r="C413" s="361" t="s">
        <v>18</v>
      </c>
      <c r="D413" s="866" t="s">
        <v>19</v>
      </c>
      <c r="E413" s="540"/>
      <c r="F413" s="540"/>
      <c r="G413" s="541"/>
      <c r="H413" s="362" t="s">
        <v>14</v>
      </c>
      <c r="I413" s="45"/>
      <c r="J413" s="45"/>
      <c r="K413" s="46"/>
      <c r="L413" s="617">
        <f t="shared" ref="L413:N413" ca="1" si="272">L414+L415</f>
        <v>0</v>
      </c>
      <c r="M413" s="133">
        <f t="shared" ca="1" si="272"/>
        <v>0</v>
      </c>
      <c r="N413" s="133">
        <f t="shared" ca="1" si="272"/>
        <v>0</v>
      </c>
      <c r="O413" s="133">
        <f t="shared" ref="O413:O421" ca="1" si="273">IF(L413&gt;0,N413*100/L413,0)</f>
        <v>0</v>
      </c>
      <c r="P413" s="133">
        <f t="shared" ref="P413:P421" ca="1" si="274">IF(M413&gt;0,N413*100/M413,0)</f>
        <v>0</v>
      </c>
      <c r="Q413" s="133">
        <f t="shared" ref="Q413:S413" ca="1" si="275">Q414+Q415</f>
        <v>0</v>
      </c>
      <c r="R413" s="133">
        <f t="shared" ca="1" si="275"/>
        <v>0</v>
      </c>
      <c r="S413" s="133">
        <f t="shared" ca="1" si="275"/>
        <v>0</v>
      </c>
      <c r="T413" s="133">
        <f t="shared" ref="T413:T421" ca="1" si="276">IF(Q413&gt;0,S413*100/Q413,0)</f>
        <v>0</v>
      </c>
      <c r="U413" s="133">
        <f t="shared" ref="U413:U421" ca="1" si="277">IF(R413&gt;0,S413*100/R413,0)</f>
        <v>0</v>
      </c>
    </row>
    <row r="414" spans="1:21" ht="18.75" hidden="1" x14ac:dyDescent="0.25">
      <c r="A414" s="129"/>
      <c r="B414" s="160"/>
      <c r="C414" s="160"/>
      <c r="D414" s="160"/>
      <c r="E414" s="511" t="s">
        <v>162</v>
      </c>
      <c r="F414" s="160"/>
      <c r="G414" s="194"/>
      <c r="H414" s="190" t="s">
        <v>14</v>
      </c>
      <c r="I414" s="45"/>
      <c r="J414" s="45"/>
      <c r="K414" s="46"/>
      <c r="L414" s="590">
        <f t="shared" ref="L414:N415" si="278">L417+L420</f>
        <v>0</v>
      </c>
      <c r="M414" s="49">
        <f t="shared" si="278"/>
        <v>0</v>
      </c>
      <c r="N414" s="49">
        <f t="shared" si="278"/>
        <v>0</v>
      </c>
      <c r="O414" s="49">
        <f t="shared" si="273"/>
        <v>0</v>
      </c>
      <c r="P414" s="49">
        <f t="shared" si="274"/>
        <v>0</v>
      </c>
      <c r="Q414" s="49">
        <f t="shared" ref="Q414:S415" si="279">Q417+Q420</f>
        <v>0</v>
      </c>
      <c r="R414" s="49">
        <f t="shared" si="279"/>
        <v>0</v>
      </c>
      <c r="S414" s="49">
        <f t="shared" si="279"/>
        <v>0</v>
      </c>
      <c r="T414" s="49">
        <f t="shared" si="276"/>
        <v>0</v>
      </c>
      <c r="U414" s="49">
        <f t="shared" si="277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8"/>
        <v>0</v>
      </c>
      <c r="M415" s="47">
        <f t="shared" ca="1" si="278"/>
        <v>0</v>
      </c>
      <c r="N415" s="47">
        <f t="shared" ca="1" si="278"/>
        <v>0</v>
      </c>
      <c r="O415" s="47">
        <f t="shared" ca="1" si="273"/>
        <v>0</v>
      </c>
      <c r="P415" s="47">
        <f t="shared" ca="1" si="274"/>
        <v>0</v>
      </c>
      <c r="Q415" s="47">
        <f t="shared" ca="1" si="279"/>
        <v>0</v>
      </c>
      <c r="R415" s="47">
        <f t="shared" ca="1" si="279"/>
        <v>0</v>
      </c>
      <c r="S415" s="47">
        <f t="shared" ca="1" si="279"/>
        <v>0</v>
      </c>
      <c r="T415" s="47">
        <f t="shared" ca="1" si="276"/>
        <v>0</v>
      </c>
      <c r="U415" s="47">
        <f t="shared" ca="1" si="277"/>
        <v>0</v>
      </c>
    </row>
    <row r="416" spans="1:21" ht="19.5" hidden="1" x14ac:dyDescent="0.3">
      <c r="A416" s="129"/>
      <c r="B416" s="160"/>
      <c r="C416" s="160"/>
      <c r="D416" s="739" t="s">
        <v>22</v>
      </c>
      <c r="E416" s="160"/>
      <c r="F416" s="160"/>
      <c r="G416" s="194"/>
      <c r="H416" s="362" t="s">
        <v>14</v>
      </c>
      <c r="I416" s="45"/>
      <c r="J416" s="45"/>
      <c r="K416" s="46"/>
      <c r="L416" s="588">
        <f t="shared" ref="L416:N416" ca="1" si="280">L417+L418</f>
        <v>0</v>
      </c>
      <c r="M416" s="47">
        <f t="shared" ca="1" si="280"/>
        <v>0</v>
      </c>
      <c r="N416" s="47">
        <f t="shared" ca="1" si="280"/>
        <v>0</v>
      </c>
      <c r="O416" s="47">
        <f t="shared" ca="1" si="273"/>
        <v>0</v>
      </c>
      <c r="P416" s="47">
        <f t="shared" ca="1" si="274"/>
        <v>0</v>
      </c>
      <c r="Q416" s="47">
        <f t="shared" ref="Q416:S416" ca="1" si="281">Q417+Q418</f>
        <v>0</v>
      </c>
      <c r="R416" s="47">
        <f t="shared" ca="1" si="281"/>
        <v>0</v>
      </c>
      <c r="S416" s="47">
        <f t="shared" ca="1" si="281"/>
        <v>0</v>
      </c>
      <c r="T416" s="47">
        <f t="shared" ca="1" si="276"/>
        <v>0</v>
      </c>
      <c r="U416" s="47">
        <f t="shared" ca="1" si="277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3"/>
        <v>0</v>
      </c>
      <c r="P417" s="49">
        <f t="shared" si="274"/>
        <v>0</v>
      </c>
      <c r="Q417" s="49">
        <v>0</v>
      </c>
      <c r="R417" s="49">
        <v>0</v>
      </c>
      <c r="S417" s="49">
        <v>0</v>
      </c>
      <c r="T417" s="49">
        <f t="shared" si="276"/>
        <v>0</v>
      </c>
      <c r="U417" s="49">
        <f t="shared" si="277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t="shared" ca="1" si="273"/>
        <v>0</v>
      </c>
      <c r="P418" s="47">
        <f t="shared" ca="1" si="274"/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t="shared" ca="1" si="276"/>
        <v>0</v>
      </c>
      <c r="U418" s="47">
        <f t="shared" ca="1" si="277"/>
        <v>0</v>
      </c>
    </row>
    <row r="419" spans="1:21" ht="19.5" hidden="1" x14ac:dyDescent="0.3">
      <c r="A419" s="129"/>
      <c r="B419" s="160"/>
      <c r="C419" s="160"/>
      <c r="D419" s="739" t="s">
        <v>23</v>
      </c>
      <c r="E419" s="160"/>
      <c r="F419" s="160"/>
      <c r="G419" s="194"/>
      <c r="H419" s="132" t="s">
        <v>14</v>
      </c>
      <c r="I419" s="45"/>
      <c r="J419" s="45"/>
      <c r="K419" s="46"/>
      <c r="L419" s="588">
        <f t="shared" ref="L419:N419" ca="1" si="282">L420+L421</f>
        <v>0</v>
      </c>
      <c r="M419" s="47">
        <f t="shared" ca="1" si="282"/>
        <v>0</v>
      </c>
      <c r="N419" s="47">
        <f t="shared" ca="1" si="282"/>
        <v>0</v>
      </c>
      <c r="O419" s="47">
        <f t="shared" ca="1" si="273"/>
        <v>0</v>
      </c>
      <c r="P419" s="47">
        <f t="shared" ca="1" si="274"/>
        <v>0</v>
      </c>
      <c r="Q419" s="47">
        <f t="shared" ref="Q419:S419" si="283">Q420+Q421</f>
        <v>0</v>
      </c>
      <c r="R419" s="47">
        <f t="shared" si="283"/>
        <v>0</v>
      </c>
      <c r="S419" s="47">
        <f t="shared" si="283"/>
        <v>0</v>
      </c>
      <c r="T419" s="47">
        <f t="shared" si="276"/>
        <v>0</v>
      </c>
      <c r="U419" s="47">
        <f t="shared" si="277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3"/>
        <v>0</v>
      </c>
      <c r="P420" s="49">
        <f t="shared" si="274"/>
        <v>0</v>
      </c>
      <c r="Q420" s="49">
        <v>0</v>
      </c>
      <c r="R420" s="49">
        <v>0</v>
      </c>
      <c r="S420" s="49">
        <v>0</v>
      </c>
      <c r="T420" s="49">
        <f t="shared" si="276"/>
        <v>0</v>
      </c>
      <c r="U420" s="49">
        <f t="shared" si="277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t="shared" ca="1" si="273"/>
        <v>0</v>
      </c>
      <c r="P421" s="47">
        <f t="shared" ca="1" si="274"/>
        <v>0</v>
      </c>
      <c r="Q421" s="47">
        <v>0</v>
      </c>
      <c r="R421" s="47">
        <v>0</v>
      </c>
      <c r="S421" s="47">
        <v>0</v>
      </c>
      <c r="T421" s="47">
        <f t="shared" si="276"/>
        <v>0</v>
      </c>
      <c r="U421" s="47">
        <f t="shared" si="277"/>
        <v>0</v>
      </c>
    </row>
    <row r="422" spans="1:21" ht="19.5" hidden="1" x14ac:dyDescent="0.3">
      <c r="A422" s="225"/>
      <c r="B422" s="160"/>
      <c r="C422" s="361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25"/>
      <c r="B423" s="367" t="s">
        <v>164</v>
      </c>
      <c r="C423" s="160"/>
      <c r="D423" s="160"/>
      <c r="E423" s="160"/>
      <c r="F423" s="160"/>
      <c r="G423" s="194"/>
      <c r="H423" s="362" t="s">
        <v>46</v>
      </c>
      <c r="I423" s="371">
        <f t="shared" ref="I423:J423" ca="1" si="284">I440</f>
        <v>0</v>
      </c>
      <c r="J423" s="749">
        <f t="shared" si="284"/>
        <v>0</v>
      </c>
      <c r="K423" s="133">
        <f t="shared" ref="K423:K425" ca="1" si="285">IF(I423&gt;0,J423*100/I423,0)</f>
        <v>0</v>
      </c>
      <c r="L423" s="591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IFERROR(__xludf.DUMMYFUNCTION("IMPORTRANGE(""https://docs.google.com/spreadsheets/d/1eHaY18a8A9IcSdp1K8H6x8fbOy06t2VsZHhMHf-1x7Y/edit?usp=sharing"",""แผน!HJ80"")"),0)</f>
        <v>0</v>
      </c>
      <c r="J424" s="751">
        <f t="shared" ref="J424:J425" si="286">J426+J428+J430</f>
        <v>0</v>
      </c>
      <c r="K424" s="133">
        <f t="shared" ca="1" si="285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IFERROR(__xludf.DUMMYFUNCTION("IMPORTRANGE(""https://docs.google.com/spreadsheets/d/1eHaY18a8A9IcSdp1K8H6x8fbOy06t2VsZHhMHf-1x7Y/edit?usp=sharing"",""แผน!HK80"")"),0)</f>
        <v>0</v>
      </c>
      <c r="J425" s="751">
        <f t="shared" si="286"/>
        <v>0</v>
      </c>
      <c r="K425" s="133">
        <f t="shared" ca="1" si="285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IFERROR(__xludf.DUMMYFUNCTION("IMPORTRANGE(""https://docs.google.com/spreadsheets/d/1eHaY18a8A9IcSdp1K8H6x8fbOy06t2VsZHhMHf-1x7Y/edit?usp=sharing"",""แผน!HJ80"")"),0)</f>
        <v>0</v>
      </c>
      <c r="J432" s="751">
        <f t="shared" ref="J432:J433" si="287">J434+J436+J438</f>
        <v>0</v>
      </c>
      <c r="K432" s="133">
        <f t="shared" ref="K432:K433" ca="1" si="288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IFERROR(__xludf.DUMMYFUNCTION("IMPORTRANGE(""https://docs.google.com/spreadsheets/d/1eHaY18a8A9IcSdp1K8H6x8fbOy06t2VsZHhMHf-1x7Y/edit?usp=sharing"",""แผน!HK80"")"),0)</f>
        <v>0</v>
      </c>
      <c r="J433" s="751">
        <f t="shared" si="287"/>
        <v>0</v>
      </c>
      <c r="K433" s="133">
        <f t="shared" ca="1" si="288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IFERROR(__xludf.DUMMYFUNCTION("IMPORTRANGE(""https://docs.google.com/spreadsheets/d/1eHaY18a8A9IcSdp1K8H6x8fbOy06t2VsZHhMHf-1x7Y/edit?usp=sharing"",""แผน!HJ80"")"),0)</f>
        <v>0</v>
      </c>
      <c r="J440" s="751">
        <f t="shared" ref="J440:J441" si="289">J442+J444+J446+J452+J454</f>
        <v>0</v>
      </c>
      <c r="K440" s="133">
        <f t="shared" ref="K440:K441" ca="1" si="290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IFERROR(__xludf.DUMMYFUNCTION("IMPORTRANGE(""https://docs.google.com/spreadsheets/d/1eHaY18a8A9IcSdp1K8H6x8fbOy06t2VsZHhMHf-1x7Y/edit?usp=sharing"",""แผน!HK80"")"),0)</f>
        <v>0</v>
      </c>
      <c r="J441" s="751">
        <f t="shared" si="289"/>
        <v>0</v>
      </c>
      <c r="K441" s="133">
        <f t="shared" ca="1" si="290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1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1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25"/>
      <c r="B456" s="367" t="s">
        <v>181</v>
      </c>
      <c r="C456" s="160"/>
      <c r="D456" s="160"/>
      <c r="E456" s="160"/>
      <c r="F456" s="160"/>
      <c r="G456" s="194"/>
      <c r="H456" s="362" t="s">
        <v>46</v>
      </c>
      <c r="I456" s="371">
        <f t="shared" ref="I456:J456" ca="1" si="292">I457</f>
        <v>0</v>
      </c>
      <c r="J456" s="754">
        <f t="shared" si="292"/>
        <v>0</v>
      </c>
      <c r="K456" s="133">
        <f t="shared" ref="K456:K458" ca="1" si="293">IF(I456&gt;0,J456*100/I456,0)</f>
        <v>0</v>
      </c>
      <c r="L456" s="591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IFERROR(__xludf.DUMMYFUNCTION("IMPORTRANGE(""https://docs.google.com/spreadsheets/d/1eHaY18a8A9IcSdp1K8H6x8fbOy06t2VsZHhMHf-1x7Y/edit?usp=sharing"",""แผน!HL80"")"),0)</f>
        <v>0</v>
      </c>
      <c r="J457" s="751">
        <f t="shared" ref="J457:J458" si="294">J459+J467+J473</f>
        <v>0</v>
      </c>
      <c r="K457" s="133">
        <f t="shared" ca="1" si="293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IFERROR(__xludf.DUMMYFUNCTION("IMPORTRANGE(""https://docs.google.com/spreadsheets/d/1eHaY18a8A9IcSdp1K8H6x8fbOy06t2VsZHhMHf-1x7Y/edit?usp=sharing"",""แผน!HM80"")"),0)</f>
        <v>0</v>
      </c>
      <c r="J458" s="751">
        <f t="shared" si="294"/>
        <v>0</v>
      </c>
      <c r="K458" s="133">
        <f t="shared" ca="1" si="293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5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5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6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6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25"/>
      <c r="B475" s="370" t="s">
        <v>191</v>
      </c>
      <c r="C475" s="160"/>
      <c r="D475" s="160"/>
      <c r="E475" s="160"/>
      <c r="F475" s="160"/>
      <c r="G475" s="194"/>
      <c r="H475" s="132" t="s">
        <v>46</v>
      </c>
      <c r="I475" s="371">
        <v>0</v>
      </c>
      <c r="J475" s="754">
        <f>J478+J480</f>
        <v>0</v>
      </c>
      <c r="K475" s="133">
        <f t="shared" ref="K475:K477" si="297">IF(I475&gt;0,J475*100/I475,0)</f>
        <v>0</v>
      </c>
      <c r="L475" s="591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25"/>
      <c r="B476" s="160"/>
      <c r="C476" s="367" t="s">
        <v>192</v>
      </c>
      <c r="D476" s="160"/>
      <c r="E476" s="160"/>
      <c r="F476" s="160"/>
      <c r="G476" s="194"/>
      <c r="H476" s="132" t="s">
        <v>46</v>
      </c>
      <c r="I476" s="371">
        <v>0</v>
      </c>
      <c r="J476" s="763">
        <f t="shared" ref="J476:J477" si="298">J478+J480</f>
        <v>0</v>
      </c>
      <c r="K476" s="133">
        <f t="shared" si="297"/>
        <v>0</v>
      </c>
      <c r="L476" s="591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25"/>
      <c r="B477" s="160"/>
      <c r="C477" s="496" t="s">
        <v>193</v>
      </c>
      <c r="D477" s="160"/>
      <c r="E477" s="160"/>
      <c r="F477" s="160"/>
      <c r="G477" s="194"/>
      <c r="H477" s="132" t="s">
        <v>34</v>
      </c>
      <c r="I477" s="371">
        <v>0</v>
      </c>
      <c r="J477" s="763">
        <f t="shared" si="298"/>
        <v>0</v>
      </c>
      <c r="K477" s="133">
        <f t="shared" si="297"/>
        <v>0</v>
      </c>
      <c r="L477" s="591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25"/>
      <c r="B484" s="160"/>
      <c r="C484" s="367" t="s">
        <v>197</v>
      </c>
      <c r="D484" s="160"/>
      <c r="E484" s="160"/>
      <c r="F484" s="160"/>
      <c r="G484" s="194"/>
      <c r="H484" s="132" t="s">
        <v>46</v>
      </c>
      <c r="I484" s="45">
        <f t="shared" ref="I484:I485" si="299">J480</f>
        <v>0</v>
      </c>
      <c r="J484" s="763">
        <f t="shared" ref="J484:J485" si="300">J486+J488+J490</f>
        <v>0</v>
      </c>
      <c r="K484" s="133">
        <f t="shared" ref="K484:K485" si="301">IF(I484&gt;0,J484*100/I484,0)</f>
        <v>0</v>
      </c>
      <c r="L484" s="591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25"/>
      <c r="B485" s="160"/>
      <c r="C485" s="496" t="s">
        <v>198</v>
      </c>
      <c r="D485" s="160"/>
      <c r="E485" s="160"/>
      <c r="F485" s="160"/>
      <c r="G485" s="194"/>
      <c r="H485" s="132" t="s">
        <v>34</v>
      </c>
      <c r="I485" s="45">
        <f t="shared" si="299"/>
        <v>0</v>
      </c>
      <c r="J485" s="763">
        <f t="shared" si="300"/>
        <v>0</v>
      </c>
      <c r="K485" s="133">
        <f t="shared" si="301"/>
        <v>0</v>
      </c>
      <c r="L485" s="591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2">I503</f>
        <v>0</v>
      </c>
      <c r="J492" s="321">
        <f t="shared" ca="1" si="302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3">L494+L495</f>
        <v>0</v>
      </c>
      <c r="M493" s="133">
        <f t="shared" ca="1" si="303"/>
        <v>0</v>
      </c>
      <c r="N493" s="133">
        <f t="shared" ca="1" si="303"/>
        <v>0</v>
      </c>
      <c r="O493" s="133">
        <f t="shared" ref="O493:O501" ca="1" si="304">IF(L493&gt;0,N493*100/L493,0)</f>
        <v>0</v>
      </c>
      <c r="P493" s="133">
        <f t="shared" ref="P493:P501" ca="1" si="305">IF(M493&gt;0,N493*100/M493,0)</f>
        <v>0</v>
      </c>
      <c r="Q493" s="133">
        <f t="shared" ref="Q493:S493" ca="1" si="306">Q494+Q495</f>
        <v>0</v>
      </c>
      <c r="R493" s="133">
        <f t="shared" ca="1" si="306"/>
        <v>0</v>
      </c>
      <c r="S493" s="133">
        <f t="shared" ca="1" si="306"/>
        <v>0</v>
      </c>
      <c r="T493" s="133">
        <f t="shared" ref="T493:T501" ca="1" si="307">IF(Q493&gt;0,S493*100/Q493,0)</f>
        <v>0</v>
      </c>
      <c r="U493" s="133">
        <f t="shared" ref="U493:U501" ca="1" si="308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09">L497+L500</f>
        <v>0</v>
      </c>
      <c r="M494" s="49">
        <f t="shared" si="309"/>
        <v>0</v>
      </c>
      <c r="N494" s="49">
        <f t="shared" si="309"/>
        <v>0</v>
      </c>
      <c r="O494" s="49">
        <f t="shared" si="304"/>
        <v>0</v>
      </c>
      <c r="P494" s="49">
        <f t="shared" si="305"/>
        <v>0</v>
      </c>
      <c r="Q494" s="49">
        <f t="shared" ref="Q494:S495" si="310">Q497+Q500</f>
        <v>0</v>
      </c>
      <c r="R494" s="49">
        <f t="shared" si="310"/>
        <v>0</v>
      </c>
      <c r="S494" s="49">
        <f t="shared" si="310"/>
        <v>0</v>
      </c>
      <c r="T494" s="49">
        <f t="shared" si="307"/>
        <v>0</v>
      </c>
      <c r="U494" s="49">
        <f t="shared" si="308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09"/>
        <v>0</v>
      </c>
      <c r="M495" s="47">
        <f t="shared" ca="1" si="309"/>
        <v>0</v>
      </c>
      <c r="N495" s="47">
        <f t="shared" ca="1" si="309"/>
        <v>0</v>
      </c>
      <c r="O495" s="47">
        <f t="shared" ca="1" si="304"/>
        <v>0</v>
      </c>
      <c r="P495" s="47">
        <f t="shared" ca="1" si="305"/>
        <v>0</v>
      </c>
      <c r="Q495" s="47">
        <f t="shared" ca="1" si="310"/>
        <v>0</v>
      </c>
      <c r="R495" s="47">
        <f t="shared" ca="1" si="310"/>
        <v>0</v>
      </c>
      <c r="S495" s="47">
        <f t="shared" ca="1" si="310"/>
        <v>0</v>
      </c>
      <c r="T495" s="47">
        <f t="shared" ca="1" si="307"/>
        <v>0</v>
      </c>
      <c r="U495" s="47">
        <f t="shared" ca="1" si="308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1">L497+L498</f>
        <v>0</v>
      </c>
      <c r="M496" s="47">
        <f t="shared" ca="1" si="311"/>
        <v>0</v>
      </c>
      <c r="N496" s="47">
        <f t="shared" ca="1" si="311"/>
        <v>0</v>
      </c>
      <c r="O496" s="47">
        <f t="shared" ca="1" si="304"/>
        <v>0</v>
      </c>
      <c r="P496" s="47">
        <f t="shared" ca="1" si="305"/>
        <v>0</v>
      </c>
      <c r="Q496" s="47">
        <f t="shared" ref="Q496:S496" ca="1" si="312">Q497+Q498</f>
        <v>0</v>
      </c>
      <c r="R496" s="47">
        <f t="shared" ca="1" si="312"/>
        <v>0</v>
      </c>
      <c r="S496" s="47">
        <f t="shared" ca="1" si="312"/>
        <v>0</v>
      </c>
      <c r="T496" s="47">
        <f t="shared" ca="1" si="307"/>
        <v>0</v>
      </c>
      <c r="U496" s="47">
        <f t="shared" ca="1" si="308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4"/>
        <v>0</v>
      </c>
      <c r="P497" s="49">
        <f t="shared" si="305"/>
        <v>0</v>
      </c>
      <c r="Q497" s="49">
        <v>0</v>
      </c>
      <c r="R497" s="49">
        <v>0</v>
      </c>
      <c r="S497" s="49">
        <v>0</v>
      </c>
      <c r="T497" s="49">
        <f t="shared" si="307"/>
        <v>0</v>
      </c>
      <c r="U497" s="49">
        <f t="shared" si="308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t="shared" ca="1" si="304"/>
        <v>0</v>
      </c>
      <c r="P498" s="47">
        <f t="shared" ca="1" si="305"/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t="shared" ca="1" si="307"/>
        <v>0</v>
      </c>
      <c r="U498" s="47">
        <f t="shared" ca="1" si="308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3">L500+L501</f>
        <v>0</v>
      </c>
      <c r="M499" s="47">
        <f t="shared" ca="1" si="313"/>
        <v>0</v>
      </c>
      <c r="N499" s="47">
        <f t="shared" ca="1" si="313"/>
        <v>0</v>
      </c>
      <c r="O499" s="47">
        <f t="shared" ca="1" si="304"/>
        <v>0</v>
      </c>
      <c r="P499" s="47">
        <f t="shared" ca="1" si="305"/>
        <v>0</v>
      </c>
      <c r="Q499" s="47">
        <f t="shared" ref="Q499:S499" si="314">Q500+Q501</f>
        <v>0</v>
      </c>
      <c r="R499" s="47">
        <f t="shared" si="314"/>
        <v>0</v>
      </c>
      <c r="S499" s="47">
        <f t="shared" si="314"/>
        <v>0</v>
      </c>
      <c r="T499" s="47">
        <f t="shared" si="307"/>
        <v>0</v>
      </c>
      <c r="U499" s="47">
        <f t="shared" si="308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4"/>
        <v>0</v>
      </c>
      <c r="P500" s="49">
        <f t="shared" si="305"/>
        <v>0</v>
      </c>
      <c r="Q500" s="49">
        <v>0</v>
      </c>
      <c r="R500" s="49">
        <v>0</v>
      </c>
      <c r="S500" s="49">
        <v>0</v>
      </c>
      <c r="T500" s="49">
        <f t="shared" si="307"/>
        <v>0</v>
      </c>
      <c r="U500" s="49">
        <f t="shared" si="308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t="shared" ca="1" si="304"/>
        <v>0</v>
      </c>
      <c r="P501" s="47">
        <f t="shared" ca="1" si="305"/>
        <v>0</v>
      </c>
      <c r="Q501" s="47">
        <v>0</v>
      </c>
      <c r="R501" s="47">
        <v>0</v>
      </c>
      <c r="S501" s="47">
        <v>0</v>
      </c>
      <c r="T501" s="47">
        <f t="shared" si="307"/>
        <v>0</v>
      </c>
      <c r="U501" s="47">
        <f t="shared" si="308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IFERROR(__xludf.DUMMYFUNCTION("IMPORTRANGE(""https://docs.google.com/spreadsheets/d/1eHaY18a8A9IcSdp1K8H6x8fbOy06t2VsZHhMHf-1x7Y/edit?usp=sharing"",""แผน!GX80"")"),0)</f>
        <v>0</v>
      </c>
      <c r="J503" s="371">
        <f ca="1">IF(AND(J504=I504,J505=I505,J506=I506,J507=I507),I503,0)</f>
        <v>0</v>
      </c>
      <c r="K503" s="133">
        <f t="shared" ref="K503:K509" ca="1" si="315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IFERROR(__xludf.DUMMYFUNCTION("IMPORTRANGE(""https://docs.google.com/spreadsheets/d/1eHaY18a8A9IcSdp1K8H6x8fbOy06t2VsZHhMHf-1x7Y/edit?usp=sharing"",""แผน!GY80"")"),0)</f>
        <v>0</v>
      </c>
      <c r="J504" s="169">
        <v>0</v>
      </c>
      <c r="K504" s="47">
        <f t="shared" ca="1" si="315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IFERROR(__xludf.DUMMYFUNCTION("IMPORTRANGE(""https://docs.google.com/spreadsheets/d/1eHaY18a8A9IcSdp1K8H6x8fbOy06t2VsZHhMHf-1x7Y/edit?usp=sharing"",""แผน!GZ80"")"),0)</f>
        <v>0</v>
      </c>
      <c r="J505" s="169">
        <v>0</v>
      </c>
      <c r="K505" s="47">
        <f t="shared" ca="1" si="315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IFERROR(__xludf.DUMMYFUNCTION("IMPORTRANGE(""https://docs.google.com/spreadsheets/d/1eHaY18a8A9IcSdp1K8H6x8fbOy06t2VsZHhMHf-1x7Y/edit?usp=sharing"",""แผน!HA80"")"),0)</f>
        <v>0</v>
      </c>
      <c r="J506" s="169">
        <v>0</v>
      </c>
      <c r="K506" s="47">
        <f t="shared" ca="1" si="315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IFERROR(__xludf.DUMMYFUNCTION("IMPORTRANGE(""https://docs.google.com/spreadsheets/d/1eHaY18a8A9IcSdp1K8H6x8fbOy06t2VsZHhMHf-1x7Y/edit?usp=sharing"",""แผน!HB80"")"),0)</f>
        <v>0</v>
      </c>
      <c r="J507" s="169">
        <v>0</v>
      </c>
      <c r="K507" s="47">
        <f t="shared" ca="1" si="315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5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IFERROR(__xludf.DUMMYFUNCTION("IMPORTRANGE(""https://docs.google.com/spreadsheets/d/1eHaY18a8A9IcSdp1K8H6x8fbOy06t2VsZHhMHf-1x7Y/edit?usp=sharing"",""แผน!HC80"")"),0)</f>
        <v>0</v>
      </c>
      <c r="J509" s="378">
        <v>0</v>
      </c>
      <c r="K509" s="111">
        <f t="shared" ca="1" si="315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67" t="s">
        <v>209</v>
      </c>
      <c r="B510" s="380"/>
      <c r="C510" s="380"/>
      <c r="D510" s="380"/>
      <c r="E510" s="381"/>
      <c r="F510" s="381"/>
      <c r="G510" s="381"/>
      <c r="H510" s="381"/>
      <c r="I510" s="382"/>
      <c r="J510" s="382"/>
      <c r="K510" s="383"/>
      <c r="L510" s="776"/>
      <c r="M510" s="385"/>
      <c r="N510" s="385"/>
      <c r="O510" s="385"/>
      <c r="P510" s="385"/>
      <c r="Q510" s="385"/>
      <c r="R510" s="385"/>
      <c r="S510" s="385"/>
      <c r="T510" s="385"/>
      <c r="U510" s="385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6">I524</f>
        <v>0</v>
      </c>
      <c r="J512" s="855">
        <f t="shared" si="316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7">L514+L515</f>
        <v>0</v>
      </c>
      <c r="M513" s="133">
        <f t="shared" ca="1" si="317"/>
        <v>0</v>
      </c>
      <c r="N513" s="133">
        <f t="shared" ca="1" si="317"/>
        <v>0</v>
      </c>
      <c r="O513" s="133">
        <f t="shared" ref="O513:O521" ca="1" si="318">IF(L513&gt;0,N513*100/L513,0)</f>
        <v>0</v>
      </c>
      <c r="P513" s="133">
        <f t="shared" ref="P513:P521" ca="1" si="319">IF(M513&gt;0,N513*100/M513,0)</f>
        <v>0</v>
      </c>
      <c r="Q513" s="133">
        <f t="shared" ref="Q513:S513" si="320">Q514+Q515</f>
        <v>0</v>
      </c>
      <c r="R513" s="133">
        <f t="shared" si="320"/>
        <v>0</v>
      </c>
      <c r="S513" s="133">
        <f t="shared" si="320"/>
        <v>0</v>
      </c>
      <c r="T513" s="133">
        <f t="shared" ref="T513:T521" si="321">IF(Q513&gt;0,S513*100/Q513,0)</f>
        <v>0</v>
      </c>
      <c r="U513" s="133">
        <f t="shared" ref="U513:U521" si="322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3">L517+L520</f>
        <v>0</v>
      </c>
      <c r="M514" s="49">
        <f t="shared" si="323"/>
        <v>0</v>
      </c>
      <c r="N514" s="49">
        <f t="shared" si="323"/>
        <v>0</v>
      </c>
      <c r="O514" s="49">
        <f t="shared" si="318"/>
        <v>0</v>
      </c>
      <c r="P514" s="49">
        <f t="shared" si="319"/>
        <v>0</v>
      </c>
      <c r="Q514" s="49">
        <f t="shared" ref="Q514:S515" si="324">Q517+Q520</f>
        <v>0</v>
      </c>
      <c r="R514" s="49">
        <f t="shared" si="324"/>
        <v>0</v>
      </c>
      <c r="S514" s="49">
        <f t="shared" si="324"/>
        <v>0</v>
      </c>
      <c r="T514" s="49">
        <f t="shared" si="321"/>
        <v>0</v>
      </c>
      <c r="U514" s="49">
        <f t="shared" si="322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3"/>
        <v>0</v>
      </c>
      <c r="M515" s="47">
        <f t="shared" ca="1" si="323"/>
        <v>0</v>
      </c>
      <c r="N515" s="47">
        <f t="shared" ca="1" si="323"/>
        <v>0</v>
      </c>
      <c r="O515" s="47">
        <f t="shared" ca="1" si="318"/>
        <v>0</v>
      </c>
      <c r="P515" s="47">
        <f t="shared" ca="1" si="319"/>
        <v>0</v>
      </c>
      <c r="Q515" s="47">
        <f t="shared" si="324"/>
        <v>0</v>
      </c>
      <c r="R515" s="47">
        <f t="shared" si="324"/>
        <v>0</v>
      </c>
      <c r="S515" s="47">
        <f t="shared" si="324"/>
        <v>0</v>
      </c>
      <c r="T515" s="47">
        <f t="shared" si="321"/>
        <v>0</v>
      </c>
      <c r="U515" s="47">
        <f t="shared" si="322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5">L517+L518</f>
        <v>0</v>
      </c>
      <c r="M516" s="47">
        <f t="shared" ca="1" si="325"/>
        <v>0</v>
      </c>
      <c r="N516" s="47">
        <f t="shared" ca="1" si="325"/>
        <v>0</v>
      </c>
      <c r="O516" s="47">
        <f t="shared" ca="1" si="318"/>
        <v>0</v>
      </c>
      <c r="P516" s="47">
        <f t="shared" ca="1" si="319"/>
        <v>0</v>
      </c>
      <c r="Q516" s="47">
        <f t="shared" ref="Q516:S516" si="326">Q517+Q518</f>
        <v>0</v>
      </c>
      <c r="R516" s="47">
        <f t="shared" si="326"/>
        <v>0</v>
      </c>
      <c r="S516" s="47">
        <f t="shared" si="326"/>
        <v>0</v>
      </c>
      <c r="T516" s="47">
        <f t="shared" si="321"/>
        <v>0</v>
      </c>
      <c r="U516" s="47">
        <f t="shared" si="322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8"/>
        <v>0</v>
      </c>
      <c r="P517" s="49">
        <f t="shared" si="319"/>
        <v>0</v>
      </c>
      <c r="Q517" s="49">
        <v>0</v>
      </c>
      <c r="R517" s="49">
        <v>0</v>
      </c>
      <c r="S517" s="49">
        <v>0</v>
      </c>
      <c r="T517" s="49">
        <f t="shared" si="321"/>
        <v>0</v>
      </c>
      <c r="U517" s="49">
        <f t="shared" si="322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t="shared" ca="1" si="318"/>
        <v>0</v>
      </c>
      <c r="P518" s="47">
        <f t="shared" ca="1" si="319"/>
        <v>0</v>
      </c>
      <c r="Q518" s="47">
        <v>0</v>
      </c>
      <c r="R518" s="47">
        <v>0</v>
      </c>
      <c r="S518" s="47">
        <v>0</v>
      </c>
      <c r="T518" s="47">
        <f t="shared" si="321"/>
        <v>0</v>
      </c>
      <c r="U518" s="47">
        <f t="shared" si="322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7">L520+L521</f>
        <v>0</v>
      </c>
      <c r="M519" s="47">
        <f t="shared" ca="1" si="327"/>
        <v>0</v>
      </c>
      <c r="N519" s="47">
        <f t="shared" ca="1" si="327"/>
        <v>0</v>
      </c>
      <c r="O519" s="47">
        <f t="shared" ca="1" si="318"/>
        <v>0</v>
      </c>
      <c r="P519" s="47">
        <f t="shared" ca="1" si="319"/>
        <v>0</v>
      </c>
      <c r="Q519" s="47">
        <f t="shared" ref="Q519:S519" si="328">Q520+Q521</f>
        <v>0</v>
      </c>
      <c r="R519" s="47">
        <f t="shared" si="328"/>
        <v>0</v>
      </c>
      <c r="S519" s="47">
        <f t="shared" si="328"/>
        <v>0</v>
      </c>
      <c r="T519" s="47">
        <f t="shared" si="321"/>
        <v>0</v>
      </c>
      <c r="U519" s="47">
        <f t="shared" si="322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8"/>
        <v>0</v>
      </c>
      <c r="P520" s="49">
        <f t="shared" si="319"/>
        <v>0</v>
      </c>
      <c r="Q520" s="49">
        <v>0</v>
      </c>
      <c r="R520" s="49">
        <v>0</v>
      </c>
      <c r="S520" s="49">
        <v>0</v>
      </c>
      <c r="T520" s="49">
        <f t="shared" si="321"/>
        <v>0</v>
      </c>
      <c r="U520" s="49">
        <f t="shared" si="322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t="shared" ca="1" si="318"/>
        <v>0</v>
      </c>
      <c r="P521" s="47">
        <f t="shared" ca="1" si="319"/>
        <v>0</v>
      </c>
      <c r="Q521" s="47">
        <v>0</v>
      </c>
      <c r="R521" s="47">
        <v>0</v>
      </c>
      <c r="S521" s="47">
        <v>0</v>
      </c>
      <c r="T521" s="47">
        <f t="shared" si="321"/>
        <v>0</v>
      </c>
      <c r="U521" s="47">
        <f t="shared" si="322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29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29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0">I545</f>
        <v>0</v>
      </c>
      <c r="J533" s="818">
        <f t="shared" si="330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1">L535+L536</f>
        <v>0</v>
      </c>
      <c r="M534" s="133">
        <f t="shared" ca="1" si="331"/>
        <v>0</v>
      </c>
      <c r="N534" s="133">
        <f t="shared" ca="1" si="331"/>
        <v>0</v>
      </c>
      <c r="O534" s="133">
        <f t="shared" ref="O534:O542" ca="1" si="332">IF(L534&gt;0,N534*100/L534,0)</f>
        <v>0</v>
      </c>
      <c r="P534" s="133">
        <f t="shared" ref="P534:P542" ca="1" si="333">IF(M534&gt;0,N534*100/M534,0)</f>
        <v>0</v>
      </c>
      <c r="Q534" s="133">
        <f t="shared" ref="Q534:S534" si="334">Q535+Q536</f>
        <v>0</v>
      </c>
      <c r="R534" s="133">
        <f t="shared" si="334"/>
        <v>0</v>
      </c>
      <c r="S534" s="133">
        <f t="shared" si="334"/>
        <v>0</v>
      </c>
      <c r="T534" s="133">
        <f t="shared" ref="T534:T542" si="335">IF(Q534&gt;0,S534*100/Q534,0)</f>
        <v>0</v>
      </c>
      <c r="U534" s="133">
        <f t="shared" ref="U534:U542" si="336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7">L538+L541</f>
        <v>0</v>
      </c>
      <c r="M535" s="49">
        <f t="shared" si="337"/>
        <v>0</v>
      </c>
      <c r="N535" s="49">
        <f t="shared" si="337"/>
        <v>0</v>
      </c>
      <c r="O535" s="49">
        <f t="shared" si="332"/>
        <v>0</v>
      </c>
      <c r="P535" s="49">
        <f t="shared" si="333"/>
        <v>0</v>
      </c>
      <c r="Q535" s="49">
        <f t="shared" ref="Q535:S536" si="338">Q538+Q541</f>
        <v>0</v>
      </c>
      <c r="R535" s="49">
        <f t="shared" si="338"/>
        <v>0</v>
      </c>
      <c r="S535" s="49">
        <f t="shared" si="338"/>
        <v>0</v>
      </c>
      <c r="T535" s="49">
        <f t="shared" si="335"/>
        <v>0</v>
      </c>
      <c r="U535" s="49">
        <f t="shared" si="336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7"/>
        <v>0</v>
      </c>
      <c r="M536" s="47">
        <f t="shared" ca="1" si="337"/>
        <v>0</v>
      </c>
      <c r="N536" s="47">
        <f t="shared" ca="1" si="337"/>
        <v>0</v>
      </c>
      <c r="O536" s="47">
        <f t="shared" ca="1" si="332"/>
        <v>0</v>
      </c>
      <c r="P536" s="47">
        <f t="shared" ca="1" si="333"/>
        <v>0</v>
      </c>
      <c r="Q536" s="47">
        <f t="shared" si="338"/>
        <v>0</v>
      </c>
      <c r="R536" s="47">
        <f t="shared" si="338"/>
        <v>0</v>
      </c>
      <c r="S536" s="47">
        <f t="shared" si="338"/>
        <v>0</v>
      </c>
      <c r="T536" s="47">
        <f t="shared" si="335"/>
        <v>0</v>
      </c>
      <c r="U536" s="47">
        <f t="shared" si="336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39">L538+L539</f>
        <v>0</v>
      </c>
      <c r="M537" s="47">
        <f t="shared" ca="1" si="339"/>
        <v>0</v>
      </c>
      <c r="N537" s="47">
        <f t="shared" ca="1" si="339"/>
        <v>0</v>
      </c>
      <c r="O537" s="47">
        <f t="shared" ca="1" si="332"/>
        <v>0</v>
      </c>
      <c r="P537" s="47">
        <f t="shared" ca="1" si="333"/>
        <v>0</v>
      </c>
      <c r="Q537" s="47">
        <f t="shared" ref="Q537:S537" si="340">Q538+Q539</f>
        <v>0</v>
      </c>
      <c r="R537" s="47">
        <f t="shared" si="340"/>
        <v>0</v>
      </c>
      <c r="S537" s="47">
        <f t="shared" si="340"/>
        <v>0</v>
      </c>
      <c r="T537" s="47">
        <f t="shared" si="335"/>
        <v>0</v>
      </c>
      <c r="U537" s="47">
        <f t="shared" si="336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2"/>
        <v>0</v>
      </c>
      <c r="P538" s="49">
        <f t="shared" si="333"/>
        <v>0</v>
      </c>
      <c r="Q538" s="49">
        <v>0</v>
      </c>
      <c r="R538" s="49">
        <v>0</v>
      </c>
      <c r="S538" s="49">
        <v>0</v>
      </c>
      <c r="T538" s="49">
        <f t="shared" si="335"/>
        <v>0</v>
      </c>
      <c r="U538" s="49">
        <f t="shared" si="336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t="shared" ca="1" si="332"/>
        <v>0</v>
      </c>
      <c r="P539" s="47">
        <f t="shared" ca="1" si="333"/>
        <v>0</v>
      </c>
      <c r="Q539" s="47">
        <v>0</v>
      </c>
      <c r="R539" s="47">
        <v>0</v>
      </c>
      <c r="S539" s="47">
        <v>0</v>
      </c>
      <c r="T539" s="47">
        <f t="shared" si="335"/>
        <v>0</v>
      </c>
      <c r="U539" s="47">
        <f t="shared" si="336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1">L541+L542</f>
        <v>0</v>
      </c>
      <c r="M540" s="47">
        <f t="shared" ca="1" si="341"/>
        <v>0</v>
      </c>
      <c r="N540" s="47">
        <f t="shared" ca="1" si="341"/>
        <v>0</v>
      </c>
      <c r="O540" s="47">
        <f t="shared" ca="1" si="332"/>
        <v>0</v>
      </c>
      <c r="P540" s="47">
        <f t="shared" ca="1" si="333"/>
        <v>0</v>
      </c>
      <c r="Q540" s="47">
        <f t="shared" ref="Q540:S540" si="342">Q541+Q542</f>
        <v>0</v>
      </c>
      <c r="R540" s="47">
        <f t="shared" si="342"/>
        <v>0</v>
      </c>
      <c r="S540" s="47">
        <f t="shared" si="342"/>
        <v>0</v>
      </c>
      <c r="T540" s="47">
        <f t="shared" si="335"/>
        <v>0</v>
      </c>
      <c r="U540" s="47">
        <f t="shared" si="336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2"/>
        <v>0</v>
      </c>
      <c r="P541" s="49">
        <f t="shared" si="333"/>
        <v>0</v>
      </c>
      <c r="Q541" s="49">
        <v>0</v>
      </c>
      <c r="R541" s="49">
        <v>0</v>
      </c>
      <c r="S541" s="49">
        <v>0</v>
      </c>
      <c r="T541" s="49">
        <f t="shared" si="335"/>
        <v>0</v>
      </c>
      <c r="U541" s="49">
        <f t="shared" si="336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t="shared" ca="1" si="332"/>
        <v>0</v>
      </c>
      <c r="P542" s="47">
        <f t="shared" ca="1" si="333"/>
        <v>0</v>
      </c>
      <c r="Q542" s="47">
        <v>0</v>
      </c>
      <c r="R542" s="47">
        <v>0</v>
      </c>
      <c r="S542" s="47">
        <v>0</v>
      </c>
      <c r="T542" s="47">
        <f t="shared" si="335"/>
        <v>0</v>
      </c>
      <c r="U542" s="47">
        <f t="shared" si="336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3">I566</f>
        <v>0</v>
      </c>
      <c r="J554" s="818">
        <f t="shared" si="343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4">L556+L557</f>
        <v>0</v>
      </c>
      <c r="M555" s="133">
        <f t="shared" ca="1" si="344"/>
        <v>0</v>
      </c>
      <c r="N555" s="133">
        <f t="shared" ca="1" si="344"/>
        <v>0</v>
      </c>
      <c r="O555" s="133">
        <f t="shared" ref="O555:O563" ca="1" si="345">IF(L555&gt;0,N555*100/L555,0)</f>
        <v>0</v>
      </c>
      <c r="P555" s="133">
        <f t="shared" ref="P555:P563" ca="1" si="346">IF(M555&gt;0,N555*100/M555,0)</f>
        <v>0</v>
      </c>
      <c r="Q555" s="133">
        <f t="shared" ref="Q555:S555" si="347">Q556+Q557</f>
        <v>0</v>
      </c>
      <c r="R555" s="133">
        <f t="shared" si="347"/>
        <v>0</v>
      </c>
      <c r="S555" s="133">
        <f t="shared" si="347"/>
        <v>0</v>
      </c>
      <c r="T555" s="133">
        <f t="shared" ref="T555:T563" si="348">IF(Q555&gt;0,S555*100/Q555,0)</f>
        <v>0</v>
      </c>
      <c r="U555" s="133">
        <f t="shared" ref="U555:U563" si="349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0">L559+L562</f>
        <v>0</v>
      </c>
      <c r="M556" s="49">
        <f t="shared" si="350"/>
        <v>0</v>
      </c>
      <c r="N556" s="49">
        <f t="shared" si="350"/>
        <v>0</v>
      </c>
      <c r="O556" s="49">
        <f t="shared" si="345"/>
        <v>0</v>
      </c>
      <c r="P556" s="49">
        <f t="shared" si="346"/>
        <v>0</v>
      </c>
      <c r="Q556" s="49">
        <f t="shared" ref="Q556:S557" si="351">Q559+Q562</f>
        <v>0</v>
      </c>
      <c r="R556" s="49">
        <f t="shared" si="351"/>
        <v>0</v>
      </c>
      <c r="S556" s="49">
        <f t="shared" si="351"/>
        <v>0</v>
      </c>
      <c r="T556" s="49">
        <f t="shared" si="348"/>
        <v>0</v>
      </c>
      <c r="U556" s="49">
        <f t="shared" si="349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0"/>
        <v>0</v>
      </c>
      <c r="M557" s="47">
        <f t="shared" ca="1" si="350"/>
        <v>0</v>
      </c>
      <c r="N557" s="47">
        <f t="shared" ca="1" si="350"/>
        <v>0</v>
      </c>
      <c r="O557" s="47">
        <f t="shared" ca="1" si="345"/>
        <v>0</v>
      </c>
      <c r="P557" s="47">
        <f t="shared" ca="1" si="346"/>
        <v>0</v>
      </c>
      <c r="Q557" s="47">
        <f t="shared" si="351"/>
        <v>0</v>
      </c>
      <c r="R557" s="47">
        <f t="shared" si="351"/>
        <v>0</v>
      </c>
      <c r="S557" s="47">
        <f t="shared" si="351"/>
        <v>0</v>
      </c>
      <c r="T557" s="47">
        <f t="shared" si="348"/>
        <v>0</v>
      </c>
      <c r="U557" s="47">
        <f t="shared" si="349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2">L559+L560</f>
        <v>0</v>
      </c>
      <c r="M558" s="47">
        <f t="shared" ca="1" si="352"/>
        <v>0</v>
      </c>
      <c r="N558" s="47">
        <f t="shared" ca="1" si="352"/>
        <v>0</v>
      </c>
      <c r="O558" s="47">
        <f t="shared" ca="1" si="345"/>
        <v>0</v>
      </c>
      <c r="P558" s="47">
        <f t="shared" ca="1" si="346"/>
        <v>0</v>
      </c>
      <c r="Q558" s="47">
        <f t="shared" ref="Q558:S558" si="353">Q559+Q560</f>
        <v>0</v>
      </c>
      <c r="R558" s="47">
        <f t="shared" si="353"/>
        <v>0</v>
      </c>
      <c r="S558" s="47">
        <f t="shared" si="353"/>
        <v>0</v>
      </c>
      <c r="T558" s="47">
        <f t="shared" si="348"/>
        <v>0</v>
      </c>
      <c r="U558" s="47">
        <f t="shared" si="349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5"/>
        <v>0</v>
      </c>
      <c r="P559" s="49">
        <f t="shared" si="346"/>
        <v>0</v>
      </c>
      <c r="Q559" s="49">
        <v>0</v>
      </c>
      <c r="R559" s="49">
        <v>0</v>
      </c>
      <c r="S559" s="49">
        <v>0</v>
      </c>
      <c r="T559" s="49">
        <f t="shared" si="348"/>
        <v>0</v>
      </c>
      <c r="U559" s="49">
        <f t="shared" si="349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t="shared" ca="1" si="345"/>
        <v>0</v>
      </c>
      <c r="P560" s="47">
        <f t="shared" ca="1" si="346"/>
        <v>0</v>
      </c>
      <c r="Q560" s="47">
        <v>0</v>
      </c>
      <c r="R560" s="47">
        <v>0</v>
      </c>
      <c r="S560" s="47">
        <v>0</v>
      </c>
      <c r="T560" s="47">
        <f t="shared" si="348"/>
        <v>0</v>
      </c>
      <c r="U560" s="47">
        <f t="shared" si="349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4">L562+L563</f>
        <v>0</v>
      </c>
      <c r="M561" s="47">
        <f t="shared" ca="1" si="354"/>
        <v>0</v>
      </c>
      <c r="N561" s="47">
        <f t="shared" ca="1" si="354"/>
        <v>0</v>
      </c>
      <c r="O561" s="47">
        <f t="shared" ca="1" si="345"/>
        <v>0</v>
      </c>
      <c r="P561" s="47">
        <f t="shared" ca="1" si="346"/>
        <v>0</v>
      </c>
      <c r="Q561" s="47">
        <f t="shared" ref="Q561:S561" si="355">Q562+Q563</f>
        <v>0</v>
      </c>
      <c r="R561" s="47">
        <f t="shared" si="355"/>
        <v>0</v>
      </c>
      <c r="S561" s="47">
        <f t="shared" si="355"/>
        <v>0</v>
      </c>
      <c r="T561" s="47">
        <f t="shared" si="348"/>
        <v>0</v>
      </c>
      <c r="U561" s="47">
        <f t="shared" si="349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5"/>
        <v>0</v>
      </c>
      <c r="P562" s="49">
        <f t="shared" si="346"/>
        <v>0</v>
      </c>
      <c r="Q562" s="49">
        <v>0</v>
      </c>
      <c r="R562" s="49">
        <v>0</v>
      </c>
      <c r="S562" s="49">
        <v>0</v>
      </c>
      <c r="T562" s="49">
        <f t="shared" si="348"/>
        <v>0</v>
      </c>
      <c r="U562" s="49">
        <f t="shared" si="349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t="shared" ca="1" si="345"/>
        <v>0</v>
      </c>
      <c r="P563" s="47">
        <f t="shared" ca="1" si="346"/>
        <v>0</v>
      </c>
      <c r="Q563" s="47">
        <v>0</v>
      </c>
      <c r="R563" s="47">
        <v>0</v>
      </c>
      <c r="S563" s="47">
        <v>0</v>
      </c>
      <c r="T563" s="47">
        <f t="shared" si="348"/>
        <v>0</v>
      </c>
      <c r="U563" s="47">
        <f t="shared" si="349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6">I587</f>
        <v>0</v>
      </c>
      <c r="J575" s="818">
        <f t="shared" si="356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7">L577+L578</f>
        <v>0</v>
      </c>
      <c r="M576" s="133">
        <f t="shared" ca="1" si="357"/>
        <v>0</v>
      </c>
      <c r="N576" s="133">
        <f t="shared" ca="1" si="357"/>
        <v>0</v>
      </c>
      <c r="O576" s="133">
        <f t="shared" ref="O576:O584" ca="1" si="358">IF(L576&gt;0,N576*100/L576,0)</f>
        <v>0</v>
      </c>
      <c r="P576" s="133">
        <f t="shared" ref="P576:P584" ca="1" si="359">IF(M576&gt;0,N576*100/M576,0)</f>
        <v>0</v>
      </c>
      <c r="Q576" s="133">
        <f t="shared" ref="Q576:S576" si="360">Q577+Q578</f>
        <v>0</v>
      </c>
      <c r="R576" s="133">
        <f t="shared" si="360"/>
        <v>0</v>
      </c>
      <c r="S576" s="133">
        <f t="shared" si="360"/>
        <v>0</v>
      </c>
      <c r="T576" s="133">
        <f t="shared" ref="T576:T584" si="361">IF(Q576&gt;0,S576*100/Q576,0)</f>
        <v>0</v>
      </c>
      <c r="U576" s="133">
        <f t="shared" ref="U576:U584" si="362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3">L580+L583</f>
        <v>0</v>
      </c>
      <c r="M577" s="49">
        <f t="shared" si="363"/>
        <v>0</v>
      </c>
      <c r="N577" s="49">
        <f t="shared" si="363"/>
        <v>0</v>
      </c>
      <c r="O577" s="49">
        <f t="shared" si="358"/>
        <v>0</v>
      </c>
      <c r="P577" s="49">
        <f t="shared" si="359"/>
        <v>0</v>
      </c>
      <c r="Q577" s="49">
        <f t="shared" ref="Q577:S578" si="364">Q580+Q583</f>
        <v>0</v>
      </c>
      <c r="R577" s="49">
        <f t="shared" si="364"/>
        <v>0</v>
      </c>
      <c r="S577" s="49">
        <f t="shared" si="364"/>
        <v>0</v>
      </c>
      <c r="T577" s="49">
        <f t="shared" si="361"/>
        <v>0</v>
      </c>
      <c r="U577" s="49">
        <f t="shared" si="362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3"/>
        <v>0</v>
      </c>
      <c r="M578" s="47">
        <f t="shared" ca="1" si="363"/>
        <v>0</v>
      </c>
      <c r="N578" s="47">
        <f t="shared" ca="1" si="363"/>
        <v>0</v>
      </c>
      <c r="O578" s="47">
        <f t="shared" ca="1" si="358"/>
        <v>0</v>
      </c>
      <c r="P578" s="47">
        <f t="shared" ca="1" si="359"/>
        <v>0</v>
      </c>
      <c r="Q578" s="47">
        <f t="shared" si="364"/>
        <v>0</v>
      </c>
      <c r="R578" s="47">
        <f t="shared" si="364"/>
        <v>0</v>
      </c>
      <c r="S578" s="47">
        <f t="shared" si="364"/>
        <v>0</v>
      </c>
      <c r="T578" s="47">
        <f t="shared" si="361"/>
        <v>0</v>
      </c>
      <c r="U578" s="47">
        <f t="shared" si="362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5">L580+L581</f>
        <v>0</v>
      </c>
      <c r="M579" s="47">
        <f t="shared" ca="1" si="365"/>
        <v>0</v>
      </c>
      <c r="N579" s="47">
        <f t="shared" ca="1" si="365"/>
        <v>0</v>
      </c>
      <c r="O579" s="47">
        <f t="shared" ca="1" si="358"/>
        <v>0</v>
      </c>
      <c r="P579" s="47">
        <f t="shared" ca="1" si="359"/>
        <v>0</v>
      </c>
      <c r="Q579" s="47">
        <f t="shared" ref="Q579:S579" si="366">Q580+Q581</f>
        <v>0</v>
      </c>
      <c r="R579" s="47">
        <f t="shared" si="366"/>
        <v>0</v>
      </c>
      <c r="S579" s="47">
        <f t="shared" si="366"/>
        <v>0</v>
      </c>
      <c r="T579" s="47">
        <f t="shared" si="361"/>
        <v>0</v>
      </c>
      <c r="U579" s="47">
        <f t="shared" si="362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8"/>
        <v>0</v>
      </c>
      <c r="P580" s="49">
        <f t="shared" si="359"/>
        <v>0</v>
      </c>
      <c r="Q580" s="49">
        <v>0</v>
      </c>
      <c r="R580" s="49">
        <v>0</v>
      </c>
      <c r="S580" s="49">
        <v>0</v>
      </c>
      <c r="T580" s="49">
        <f t="shared" si="361"/>
        <v>0</v>
      </c>
      <c r="U580" s="49">
        <f t="shared" si="362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t="shared" ca="1" si="358"/>
        <v>0</v>
      </c>
      <c r="P581" s="47">
        <f t="shared" ca="1" si="359"/>
        <v>0</v>
      </c>
      <c r="Q581" s="47">
        <v>0</v>
      </c>
      <c r="R581" s="47">
        <v>0</v>
      </c>
      <c r="S581" s="47">
        <v>0</v>
      </c>
      <c r="T581" s="47">
        <f t="shared" si="361"/>
        <v>0</v>
      </c>
      <c r="U581" s="47">
        <f t="shared" si="362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7">L583+L584</f>
        <v>0</v>
      </c>
      <c r="M582" s="47">
        <f t="shared" ca="1" si="367"/>
        <v>0</v>
      </c>
      <c r="N582" s="47">
        <f t="shared" ca="1" si="367"/>
        <v>0</v>
      </c>
      <c r="O582" s="47">
        <f t="shared" ca="1" si="358"/>
        <v>0</v>
      </c>
      <c r="P582" s="47">
        <f t="shared" ca="1" si="359"/>
        <v>0</v>
      </c>
      <c r="Q582" s="47">
        <f t="shared" ref="Q582:S582" si="368">Q583+Q584</f>
        <v>0</v>
      </c>
      <c r="R582" s="47">
        <f t="shared" si="368"/>
        <v>0</v>
      </c>
      <c r="S582" s="47">
        <f t="shared" si="368"/>
        <v>0</v>
      </c>
      <c r="T582" s="47">
        <f t="shared" si="361"/>
        <v>0</v>
      </c>
      <c r="U582" s="47">
        <f t="shared" si="362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8"/>
        <v>0</v>
      </c>
      <c r="P583" s="49">
        <f t="shared" si="359"/>
        <v>0</v>
      </c>
      <c r="Q583" s="49">
        <v>0</v>
      </c>
      <c r="R583" s="49">
        <v>0</v>
      </c>
      <c r="S583" s="49">
        <v>0</v>
      </c>
      <c r="T583" s="49">
        <f t="shared" si="361"/>
        <v>0</v>
      </c>
      <c r="U583" s="49">
        <f t="shared" si="362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t="shared" ca="1" si="358"/>
        <v>0</v>
      </c>
      <c r="P584" s="47">
        <f t="shared" ca="1" si="359"/>
        <v>0</v>
      </c>
      <c r="Q584" s="47">
        <v>0</v>
      </c>
      <c r="R584" s="47">
        <v>0</v>
      </c>
      <c r="S584" s="47">
        <v>0</v>
      </c>
      <c r="T584" s="47">
        <f t="shared" si="361"/>
        <v>0</v>
      </c>
      <c r="U584" s="47">
        <f t="shared" si="362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69">L600+L601</f>
        <v>0</v>
      </c>
      <c r="M599" s="133">
        <f t="shared" ca="1" si="369"/>
        <v>0</v>
      </c>
      <c r="N599" s="133">
        <f t="shared" ca="1" si="369"/>
        <v>0</v>
      </c>
      <c r="O599" s="133">
        <f t="shared" ref="O599:O607" ca="1" si="370">IF(L599&gt;0,N599*100/L599,0)</f>
        <v>0</v>
      </c>
      <c r="P599" s="133">
        <f t="shared" ref="P599:P607" ca="1" si="371">IF(M599&gt;0,N599*100/M599,0)</f>
        <v>0</v>
      </c>
      <c r="Q599" s="133">
        <f t="shared" ref="Q599:S599" ca="1" si="372">Q600+Q601</f>
        <v>0</v>
      </c>
      <c r="R599" s="133">
        <f t="shared" ca="1" si="372"/>
        <v>0</v>
      </c>
      <c r="S599" s="133">
        <f t="shared" ca="1" si="372"/>
        <v>0</v>
      </c>
      <c r="T599" s="133">
        <f t="shared" ref="T599:T607" ca="1" si="373">IF(Q599&gt;0,S599*100/Q599,0)</f>
        <v>0</v>
      </c>
      <c r="U599" s="133">
        <f t="shared" ref="U599:U607" ca="1" si="374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5">L603+L606</f>
        <v>0</v>
      </c>
      <c r="M600" s="49">
        <f t="shared" si="375"/>
        <v>0</v>
      </c>
      <c r="N600" s="49">
        <f t="shared" si="375"/>
        <v>0</v>
      </c>
      <c r="O600" s="49">
        <f t="shared" si="370"/>
        <v>0</v>
      </c>
      <c r="P600" s="49">
        <f t="shared" si="371"/>
        <v>0</v>
      </c>
      <c r="Q600" s="49">
        <f t="shared" ref="Q600:S601" si="376">Q603+Q606</f>
        <v>0</v>
      </c>
      <c r="R600" s="49">
        <f t="shared" si="376"/>
        <v>0</v>
      </c>
      <c r="S600" s="49">
        <f t="shared" si="376"/>
        <v>0</v>
      </c>
      <c r="T600" s="49">
        <f t="shared" si="373"/>
        <v>0</v>
      </c>
      <c r="U600" s="49">
        <f t="shared" si="374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5"/>
        <v>0</v>
      </c>
      <c r="M601" s="47">
        <f t="shared" ca="1" si="375"/>
        <v>0</v>
      </c>
      <c r="N601" s="47">
        <f t="shared" ca="1" si="375"/>
        <v>0</v>
      </c>
      <c r="O601" s="47">
        <f t="shared" ca="1" si="370"/>
        <v>0</v>
      </c>
      <c r="P601" s="47">
        <f t="shared" ca="1" si="371"/>
        <v>0</v>
      </c>
      <c r="Q601" s="47">
        <f t="shared" ca="1" si="376"/>
        <v>0</v>
      </c>
      <c r="R601" s="47">
        <f t="shared" ca="1" si="376"/>
        <v>0</v>
      </c>
      <c r="S601" s="47">
        <f t="shared" ca="1" si="376"/>
        <v>0</v>
      </c>
      <c r="T601" s="47">
        <f t="shared" ca="1" si="373"/>
        <v>0</v>
      </c>
      <c r="U601" s="47">
        <f t="shared" ca="1" si="374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7">L603+L604</f>
        <v>0</v>
      </c>
      <c r="M602" s="47">
        <f t="shared" ca="1" si="377"/>
        <v>0</v>
      </c>
      <c r="N602" s="47">
        <f t="shared" ca="1" si="377"/>
        <v>0</v>
      </c>
      <c r="O602" s="47">
        <f t="shared" ca="1" si="370"/>
        <v>0</v>
      </c>
      <c r="P602" s="47">
        <f t="shared" ca="1" si="371"/>
        <v>0</v>
      </c>
      <c r="Q602" s="47">
        <f t="shared" ref="Q602:S602" ca="1" si="378">Q603+Q604</f>
        <v>0</v>
      </c>
      <c r="R602" s="47">
        <f t="shared" ca="1" si="378"/>
        <v>0</v>
      </c>
      <c r="S602" s="47">
        <f t="shared" ca="1" si="378"/>
        <v>0</v>
      </c>
      <c r="T602" s="47">
        <f t="shared" ca="1" si="373"/>
        <v>0</v>
      </c>
      <c r="U602" s="47">
        <f t="shared" ca="1" si="374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0"/>
        <v>0</v>
      </c>
      <c r="P603" s="49">
        <f t="shared" si="371"/>
        <v>0</v>
      </c>
      <c r="Q603" s="49">
        <v>0</v>
      </c>
      <c r="R603" s="49">
        <v>0</v>
      </c>
      <c r="S603" s="49">
        <v>0</v>
      </c>
      <c r="T603" s="49">
        <f t="shared" si="373"/>
        <v>0</v>
      </c>
      <c r="U603" s="49">
        <f t="shared" si="374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t="shared" ca="1" si="370"/>
        <v>0</v>
      </c>
      <c r="P604" s="47">
        <f t="shared" ca="1" si="371"/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t="shared" ca="1" si="373"/>
        <v>0</v>
      </c>
      <c r="U604" s="47">
        <f t="shared" ca="1" si="374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79">L606+L607</f>
        <v>0</v>
      </c>
      <c r="M605" s="47">
        <f t="shared" ca="1" si="379"/>
        <v>0</v>
      </c>
      <c r="N605" s="47">
        <f t="shared" ca="1" si="379"/>
        <v>0</v>
      </c>
      <c r="O605" s="47">
        <f t="shared" ca="1" si="370"/>
        <v>0</v>
      </c>
      <c r="P605" s="47">
        <f t="shared" ca="1" si="371"/>
        <v>0</v>
      </c>
      <c r="Q605" s="47">
        <f t="shared" ref="Q605:S605" ca="1" si="380">Q606+Q607</f>
        <v>0</v>
      </c>
      <c r="R605" s="47">
        <f t="shared" ca="1" si="380"/>
        <v>0</v>
      </c>
      <c r="S605" s="47">
        <f t="shared" ca="1" si="380"/>
        <v>0</v>
      </c>
      <c r="T605" s="47">
        <f t="shared" ca="1" si="373"/>
        <v>0</v>
      </c>
      <c r="U605" s="47">
        <f t="shared" ca="1" si="374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0"/>
        <v>0</v>
      </c>
      <c r="P606" s="49">
        <f t="shared" si="371"/>
        <v>0</v>
      </c>
      <c r="Q606" s="49">
        <v>0</v>
      </c>
      <c r="R606" s="49">
        <v>0</v>
      </c>
      <c r="S606" s="49">
        <v>0</v>
      </c>
      <c r="T606" s="49">
        <f t="shared" si="373"/>
        <v>0</v>
      </c>
      <c r="U606" s="49">
        <f t="shared" si="374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t="shared" ca="1" si="370"/>
        <v>0</v>
      </c>
      <c r="P607" s="47">
        <f t="shared" ca="1" si="371"/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t="shared" ca="1" si="373"/>
        <v>0</v>
      </c>
      <c r="U607" s="47">
        <f t="shared" ca="1" si="374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1">I626</f>
        <v>50</v>
      </c>
      <c r="J615" s="488">
        <f t="shared" si="381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2">L617+L618</f>
        <v>0</v>
      </c>
      <c r="M616" s="133">
        <f t="shared" si="382"/>
        <v>0</v>
      </c>
      <c r="N616" s="133">
        <f t="shared" si="382"/>
        <v>0</v>
      </c>
      <c r="O616" s="133">
        <f t="shared" ref="O616:O624" si="383">IF(L616&gt;0,N616*100/L616,0)</f>
        <v>0</v>
      </c>
      <c r="P616" s="133">
        <f t="shared" ref="P616:P624" si="384">IF(M616&gt;0,N616*100/M616,0)</f>
        <v>0</v>
      </c>
      <c r="Q616" s="133">
        <f t="shared" ref="Q616:S616" ca="1" si="385">Q617+Q618</f>
        <v>6800</v>
      </c>
      <c r="R616" s="133">
        <f t="shared" ca="1" si="385"/>
        <v>6800</v>
      </c>
      <c r="S616" s="133">
        <f t="shared" ca="1" si="385"/>
        <v>6150</v>
      </c>
      <c r="T616" s="133">
        <f t="shared" ref="T616:T624" ca="1" si="386">IF(Q616&gt;0,S616*100/Q616,0)</f>
        <v>90.441176470588232</v>
      </c>
      <c r="U616" s="133">
        <f t="shared" ref="U616:U624" ca="1" si="387">IF(R616&gt;0,S616*100/R616,0)</f>
        <v>90.441176470588232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8">L620+L623</f>
        <v>0</v>
      </c>
      <c r="M617" s="49">
        <f t="shared" si="388"/>
        <v>0</v>
      </c>
      <c r="N617" s="49">
        <f t="shared" si="388"/>
        <v>0</v>
      </c>
      <c r="O617" s="49">
        <f t="shared" si="383"/>
        <v>0</v>
      </c>
      <c r="P617" s="49">
        <f t="shared" si="384"/>
        <v>0</v>
      </c>
      <c r="Q617" s="49">
        <f t="shared" ref="Q617:S618" si="389">Q620+Q623</f>
        <v>0</v>
      </c>
      <c r="R617" s="49">
        <f t="shared" si="389"/>
        <v>0</v>
      </c>
      <c r="S617" s="49">
        <f t="shared" si="389"/>
        <v>0</v>
      </c>
      <c r="T617" s="49">
        <f t="shared" si="386"/>
        <v>0</v>
      </c>
      <c r="U617" s="49">
        <f t="shared" si="387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8"/>
        <v>0</v>
      </c>
      <c r="M618" s="47">
        <f t="shared" si="388"/>
        <v>0</v>
      </c>
      <c r="N618" s="47">
        <f t="shared" si="388"/>
        <v>0</v>
      </c>
      <c r="O618" s="47">
        <f t="shared" si="383"/>
        <v>0</v>
      </c>
      <c r="P618" s="47">
        <f t="shared" si="384"/>
        <v>0</v>
      </c>
      <c r="Q618" s="47">
        <f t="shared" ca="1" si="389"/>
        <v>6800</v>
      </c>
      <c r="R618" s="47">
        <f t="shared" ca="1" si="389"/>
        <v>6800</v>
      </c>
      <c r="S618" s="47">
        <f t="shared" ca="1" si="389"/>
        <v>6150</v>
      </c>
      <c r="T618" s="47">
        <f t="shared" ca="1" si="386"/>
        <v>90.441176470588232</v>
      </c>
      <c r="U618" s="47">
        <f t="shared" ca="1" si="387"/>
        <v>90.441176470588232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0">L620+L621</f>
        <v>0</v>
      </c>
      <c r="M619" s="47">
        <f t="shared" si="390"/>
        <v>0</v>
      </c>
      <c r="N619" s="47">
        <f t="shared" si="390"/>
        <v>0</v>
      </c>
      <c r="O619" s="47">
        <f t="shared" si="383"/>
        <v>0</v>
      </c>
      <c r="P619" s="47">
        <f t="shared" si="384"/>
        <v>0</v>
      </c>
      <c r="Q619" s="47">
        <f t="shared" ref="Q619:S619" ca="1" si="391">Q620+Q621</f>
        <v>6800</v>
      </c>
      <c r="R619" s="47">
        <f t="shared" ca="1" si="391"/>
        <v>6800</v>
      </c>
      <c r="S619" s="47">
        <f t="shared" ca="1" si="391"/>
        <v>6150</v>
      </c>
      <c r="T619" s="47">
        <f t="shared" ca="1" si="386"/>
        <v>90.441176470588232</v>
      </c>
      <c r="U619" s="47">
        <f t="shared" ca="1" si="387"/>
        <v>90.441176470588232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3"/>
        <v>0</v>
      </c>
      <c r="P620" s="49">
        <f t="shared" si="384"/>
        <v>0</v>
      </c>
      <c r="Q620" s="49">
        <v>0</v>
      </c>
      <c r="R620" s="49">
        <v>0</v>
      </c>
      <c r="S620" s="49">
        <v>0</v>
      </c>
      <c r="T620" s="49">
        <f t="shared" si="386"/>
        <v>0</v>
      </c>
      <c r="U620" s="49">
        <f t="shared" si="387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3"/>
        <v>0</v>
      </c>
      <c r="P621" s="47">
        <f t="shared" si="384"/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IFERROR(__xludf.DUMMYFUNCTION("IMPORTRANGE(""https://docs.google.com/spreadsheets/d/1ItG2mGa2ceCfYo0BwxsXqNm01IGEUdYcSSLTEv9YCik/edit?usp=sharing"",""เบิกจ่ายกองทุน!H80"")"),6150)</f>
        <v>6150</v>
      </c>
      <c r="T621" s="47">
        <f t="shared" ca="1" si="386"/>
        <v>90.441176470588232</v>
      </c>
      <c r="U621" s="47">
        <f t="shared" ca="1" si="387"/>
        <v>90.441176470588232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2">L623+L624</f>
        <v>0</v>
      </c>
      <c r="M622" s="47">
        <f t="shared" si="392"/>
        <v>0</v>
      </c>
      <c r="N622" s="47">
        <f t="shared" si="392"/>
        <v>0</v>
      </c>
      <c r="O622" s="47">
        <f t="shared" si="383"/>
        <v>0</v>
      </c>
      <c r="P622" s="47">
        <f t="shared" si="384"/>
        <v>0</v>
      </c>
      <c r="Q622" s="47">
        <f t="shared" ref="Q622:S622" si="393">Q623+Q624</f>
        <v>0</v>
      </c>
      <c r="R622" s="47">
        <f t="shared" si="393"/>
        <v>0</v>
      </c>
      <c r="S622" s="47">
        <f t="shared" si="393"/>
        <v>0</v>
      </c>
      <c r="T622" s="47">
        <f t="shared" si="386"/>
        <v>0</v>
      </c>
      <c r="U622" s="47">
        <f t="shared" si="387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3"/>
        <v>0</v>
      </c>
      <c r="P623" s="49">
        <f t="shared" si="384"/>
        <v>0</v>
      </c>
      <c r="Q623" s="49">
        <v>0</v>
      </c>
      <c r="R623" s="49">
        <v>0</v>
      </c>
      <c r="S623" s="49">
        <v>0</v>
      </c>
      <c r="T623" s="49">
        <f t="shared" si="386"/>
        <v>0</v>
      </c>
      <c r="U623" s="49">
        <f t="shared" si="387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3"/>
        <v>0</v>
      </c>
      <c r="P624" s="47">
        <f t="shared" si="384"/>
        <v>0</v>
      </c>
      <c r="Q624" s="47">
        <v>0</v>
      </c>
      <c r="R624" s="47">
        <v>0</v>
      </c>
      <c r="S624" s="47">
        <v>0</v>
      </c>
      <c r="T624" s="47">
        <f t="shared" si="386"/>
        <v>0</v>
      </c>
      <c r="U624" s="47">
        <f t="shared" si="387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IFERROR(__xludf.DUMMYFUNCTION("IMPORTRANGE(""https://docs.google.com/spreadsheets/d/1eHaY18a8A9IcSdp1K8H6x8fbOy06t2VsZHhMHf-1x7Y/edit?usp=sharing"",""แผน!ID80"")"),50)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IFERROR(__xludf.DUMMYFUNCTION("IMPORTRANGE(""https://docs.google.com/spreadsheets/d/1eHaY18a8A9IcSdp1K8H6x8fbOy06t2VsZHhMHf-1x7Y/edit?usp=sharing"",""แผน!IC80"")"),0)</f>
        <v>0</v>
      </c>
      <c r="J627" s="169">
        <v>5</v>
      </c>
      <c r="K627" s="47">
        <f t="shared" ref="K627:K628" ca="1" si="394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IFERROR(__xludf.DUMMYFUNCTION("IMPORTRANGE(""https://docs.google.com/spreadsheets/d/1eHaY18a8A9IcSdp1K8H6x8fbOy06t2VsZHhMHf-1x7Y/edit?usp=sharing"",""แผน!IC80"")"),0)</f>
        <v>0</v>
      </c>
      <c r="J628" s="169">
        <v>5</v>
      </c>
      <c r="K628" s="47">
        <f t="shared" ca="1" si="394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50</v>
      </c>
      <c r="K629" s="47">
        <f t="shared" ref="K629:K631" ca="1" si="395">IF(I$626&gt;0,J629*100/I$626,0)</f>
        <v>100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5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5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IFERROR(__xludf.DUMMYFUNCTION("IMPORTRANGE(""https://docs.google.com/spreadsheets/d/1eHaY18a8A9IcSdp1K8H6x8fbOy06t2VsZHhMHf-1x7Y/edit?usp=sharing"",""แผน!IE80"")"),0)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x14ac:dyDescent="0.3">
      <c r="A642" s="129"/>
      <c r="B642" s="160"/>
      <c r="C642" s="409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6">L643+L644</f>
        <v>0</v>
      </c>
      <c r="M642" s="133">
        <f t="shared" si="396"/>
        <v>0</v>
      </c>
      <c r="N642" s="133">
        <f t="shared" si="396"/>
        <v>0</v>
      </c>
      <c r="O642" s="133">
        <f t="shared" ref="O642:O650" si="397">IF(L642&gt;0,N642*100/L642,0)</f>
        <v>0</v>
      </c>
      <c r="P642" s="133">
        <f t="shared" ref="P642:P650" si="398">IF(M642&gt;0,N642*100/M642,0)</f>
        <v>0</v>
      </c>
      <c r="Q642" s="133">
        <f t="shared" ref="Q642:S642" ca="1" si="399">Q643+Q644</f>
        <v>8200</v>
      </c>
      <c r="R642" s="133">
        <f t="shared" ca="1" si="399"/>
        <v>8200</v>
      </c>
      <c r="S642" s="133">
        <f t="shared" ca="1" si="399"/>
        <v>1000</v>
      </c>
      <c r="T642" s="133">
        <f t="shared" ref="T642:T650" ca="1" si="400">IF(Q642&gt;0,S642*100/Q642,0)</f>
        <v>12.195121951219512</v>
      </c>
      <c r="U642" s="133">
        <f t="shared" ref="U642:U650" ca="1" si="401">IF(R642&gt;0,S642*100/R642,0)</f>
        <v>12.195121951219512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2">L646+L649</f>
        <v>0</v>
      </c>
      <c r="M643" s="49">
        <f t="shared" si="402"/>
        <v>0</v>
      </c>
      <c r="N643" s="49">
        <f t="shared" si="402"/>
        <v>0</v>
      </c>
      <c r="O643" s="49">
        <f t="shared" si="397"/>
        <v>0</v>
      </c>
      <c r="P643" s="49">
        <f t="shared" si="398"/>
        <v>0</v>
      </c>
      <c r="Q643" s="49">
        <f t="shared" ref="Q643:S644" si="403">Q646+Q649</f>
        <v>0</v>
      </c>
      <c r="R643" s="49">
        <f t="shared" si="403"/>
        <v>0</v>
      </c>
      <c r="S643" s="49">
        <f t="shared" si="403"/>
        <v>0</v>
      </c>
      <c r="T643" s="49">
        <f t="shared" si="400"/>
        <v>0</v>
      </c>
      <c r="U643" s="49">
        <f t="shared" si="401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2"/>
        <v>0</v>
      </c>
      <c r="M644" s="47">
        <f t="shared" si="402"/>
        <v>0</v>
      </c>
      <c r="N644" s="47">
        <f t="shared" si="402"/>
        <v>0</v>
      </c>
      <c r="O644" s="47">
        <f t="shared" si="397"/>
        <v>0</v>
      </c>
      <c r="P644" s="47">
        <f t="shared" si="398"/>
        <v>0</v>
      </c>
      <c r="Q644" s="47">
        <f t="shared" ca="1" si="403"/>
        <v>8200</v>
      </c>
      <c r="R644" s="47">
        <f t="shared" ca="1" si="403"/>
        <v>8200</v>
      </c>
      <c r="S644" s="47">
        <f t="shared" ca="1" si="403"/>
        <v>1000</v>
      </c>
      <c r="T644" s="47">
        <f t="shared" ca="1" si="400"/>
        <v>12.195121951219512</v>
      </c>
      <c r="U644" s="47">
        <f t="shared" ca="1" si="401"/>
        <v>12.195121951219512</v>
      </c>
    </row>
    <row r="645" spans="1:21" ht="18.75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4">L646+L647</f>
        <v>0</v>
      </c>
      <c r="M645" s="47">
        <f t="shared" si="404"/>
        <v>0</v>
      </c>
      <c r="N645" s="47">
        <f t="shared" si="404"/>
        <v>0</v>
      </c>
      <c r="O645" s="47">
        <f t="shared" si="397"/>
        <v>0</v>
      </c>
      <c r="P645" s="47">
        <f t="shared" si="398"/>
        <v>0</v>
      </c>
      <c r="Q645" s="47">
        <f t="shared" ref="Q645:S645" ca="1" si="405">Q646+Q647</f>
        <v>8200</v>
      </c>
      <c r="R645" s="47">
        <f t="shared" ca="1" si="405"/>
        <v>8200</v>
      </c>
      <c r="S645" s="47">
        <f t="shared" ca="1" si="405"/>
        <v>1000</v>
      </c>
      <c r="T645" s="47">
        <f t="shared" ca="1" si="400"/>
        <v>12.195121951219512</v>
      </c>
      <c r="U645" s="47">
        <f t="shared" ca="1" si="401"/>
        <v>12.195121951219512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7"/>
        <v>0</v>
      </c>
      <c r="P646" s="49">
        <f t="shared" si="398"/>
        <v>0</v>
      </c>
      <c r="Q646" s="49">
        <v>0</v>
      </c>
      <c r="R646" s="49">
        <v>0</v>
      </c>
      <c r="S646" s="49">
        <v>0</v>
      </c>
      <c r="T646" s="49">
        <f t="shared" si="400"/>
        <v>0</v>
      </c>
      <c r="U646" s="49">
        <f t="shared" si="401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7"/>
        <v>0</v>
      </c>
      <c r="P647" s="47">
        <f t="shared" si="398"/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IFERROR(__xludf.DUMMYFUNCTION("IMPORTRANGE(""https://docs.google.com/spreadsheets/d/1ItG2mGa2ceCfYo0BwxsXqNm01IGEUdYcSSLTEv9YCik/edit?usp=sharing"",""เบิกจ่ายกองทุน!K80"")"),1000)</f>
        <v>1000</v>
      </c>
      <c r="T647" s="47">
        <f t="shared" ca="1" si="400"/>
        <v>12.195121951219512</v>
      </c>
      <c r="U647" s="47">
        <f t="shared" ca="1" si="401"/>
        <v>12.195121951219512</v>
      </c>
    </row>
    <row r="648" spans="1:21" ht="18.75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6">L649+L650</f>
        <v>0</v>
      </c>
      <c r="M648" s="47">
        <f t="shared" si="406"/>
        <v>0</v>
      </c>
      <c r="N648" s="47">
        <f t="shared" si="406"/>
        <v>0</v>
      </c>
      <c r="O648" s="47">
        <f t="shared" si="397"/>
        <v>0</v>
      </c>
      <c r="P648" s="47">
        <f t="shared" si="398"/>
        <v>0</v>
      </c>
      <c r="Q648" s="47">
        <f t="shared" ref="Q648:S648" si="407">Q649+Q650</f>
        <v>0</v>
      </c>
      <c r="R648" s="47">
        <f t="shared" si="407"/>
        <v>0</v>
      </c>
      <c r="S648" s="47">
        <f t="shared" si="407"/>
        <v>0</v>
      </c>
      <c r="T648" s="47">
        <f t="shared" si="400"/>
        <v>0</v>
      </c>
      <c r="U648" s="47">
        <f t="shared" si="401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7"/>
        <v>0</v>
      </c>
      <c r="P649" s="49">
        <f t="shared" si="398"/>
        <v>0</v>
      </c>
      <c r="Q649" s="49">
        <v>0</v>
      </c>
      <c r="R649" s="49">
        <v>0</v>
      </c>
      <c r="S649" s="49">
        <v>0</v>
      </c>
      <c r="T649" s="49">
        <f t="shared" si="400"/>
        <v>0</v>
      </c>
      <c r="U649" s="49">
        <f t="shared" si="401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7"/>
        <v>0</v>
      </c>
      <c r="P650" s="47">
        <f t="shared" si="398"/>
        <v>0</v>
      </c>
      <c r="Q650" s="47">
        <v>0</v>
      </c>
      <c r="R650" s="47">
        <v>0</v>
      </c>
      <c r="S650" s="47">
        <v>0</v>
      </c>
      <c r="T650" s="47">
        <f t="shared" si="400"/>
        <v>0</v>
      </c>
      <c r="U650" s="47">
        <f t="shared" si="401"/>
        <v>0</v>
      </c>
    </row>
    <row r="651" spans="1:21" ht="19.5" x14ac:dyDescent="0.3">
      <c r="A651" s="139"/>
      <c r="B651" s="140"/>
      <c r="C651" s="409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IFERROR(__xludf.DUMMYFUNCTION("IMPORTRANGE(""https://docs.google.com/spreadsheets/d/1eHaY18a8A9IcSdp1K8H6x8fbOy06t2VsZHhMHf-1x7Y/edit?usp=sharing"",""แผน!IF80"")"),0)</f>
        <v>0</v>
      </c>
      <c r="J652" s="37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t="shared" ref="K652:K654" ca="1" si="408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IFERROR(__xludf.DUMMYFUNCTION("IMPORTRANGE(""https://docs.google.com/spreadsheets/d/1eHaY18a8A9IcSdp1K8H6x8fbOy06t2VsZHhMHf-1x7Y/edit?usp=sharing"",""แผน!IG80"")"),60)</f>
        <v>60</v>
      </c>
      <c r="J653" s="37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t="shared" ca="1" si="408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IFERROR(__xludf.DUMMYFUNCTION("IMPORTRANGE(""https://docs.google.com/spreadsheets/d/1eHaY18a8A9IcSdp1K8H6x8fbOy06t2VsZHhMHf-1x7Y/edit?usp=sharing"",""แผน!IH80"")"),0)</f>
        <v>0</v>
      </c>
      <c r="J654" s="371">
        <f>J657+J660</f>
        <v>0</v>
      </c>
      <c r="K654" s="133">
        <f t="shared" ca="1" si="408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IFERROR(__xludf.DUMMYFUNCTION("IMPORTRANGE(""https://docs.google.com/spreadsheets/d/1eHaY18a8A9IcSdp1K8H6x8fbOy06t2VsZHhMHf-1x7Y/edit?usp=sharing"",""แผน!II80"")"),0)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IFERROR(__xludf.DUMMYFUNCTION("IMPORTRANGE(""https://docs.google.com/spreadsheets/d/1eHaY18a8A9IcSdp1K8H6x8fbOy06t2VsZHhMHf-1x7Y/edit?usp=sharing"",""แผน!IJ80"")"),0)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IFERROR(__xludf.DUMMYFUNCTION("IMPORTRANGE(""https://docs.google.com/spreadsheets/d/1eHaY18a8A9IcSdp1K8H6x8fbOy06t2VsZHhMHf-1x7Y/edit?usp=sharing"",""แผน!IK80"")"),0)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IFERROR(__xludf.DUMMYFUNCTION("IMPORTRANGE(""https://docs.google.com/spreadsheets/d/1eHaY18a8A9IcSdp1K8H6x8fbOy06t2VsZHhMHf-1x7Y/edit?usp=sharing"",""แผน!IL80"")"),0)</f>
        <v>0</v>
      </c>
      <c r="J673" s="37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t="shared" ref="K673:K676" ca="1" si="409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IFERROR(__xludf.DUMMYFUNCTION("IMPORTRANGE(""https://docs.google.com/spreadsheets/d/1eHaY18a8A9IcSdp1K8H6x8fbOy06t2VsZHhMHf-1x7Y/edit?usp=sharing"",""แผน!IM80"")"),0)</f>
        <v>0</v>
      </c>
      <c r="J674" s="371">
        <f ca="1">J676+J679</f>
        <v>0</v>
      </c>
      <c r="K674" s="133">
        <f t="shared" ca="1" si="409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IFERROR(__xludf.DUMMYFUNCTION("IMPORTRANGE(""https://docs.google.com/spreadsheets/d/1eHaY18a8A9IcSdp1K8H6x8fbOy06t2VsZHhMHf-1x7Y/edit?usp=sharing"",""แผน!IN80"")"),0)</f>
        <v>0</v>
      </c>
      <c r="J675" s="371">
        <f ca="1">J678+J681</f>
        <v>0</v>
      </c>
      <c r="K675" s="133">
        <f t="shared" ca="1" si="409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IFERROR(__xludf.DUMMYFUNCTION("IMPORTRANGE(""https://docs.google.com/spreadsheets/d/1eHaY18a8A9IcSdp1K8H6x8fbOy06t2VsZHhMHf-1x7Y/edit?usp=sharing"",""แผน!IO80"")"),0)</f>
        <v>0</v>
      </c>
      <c r="J676" s="37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t="shared" ca="1" si="409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IFERROR(__xludf.DUMMYFUNCTION("IMPORTRANGE(""https://docs.google.com/spreadsheets/d/1eHaY18a8A9IcSdp1K8H6x8fbOy06t2VsZHhMHf-1x7Y/edit?usp=sharing"",""แผน!IP80"")"),0)</f>
        <v>0</v>
      </c>
      <c r="J678" s="37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t="shared" ref="K678:K679" ca="1" si="410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IFERROR(__xludf.DUMMYFUNCTION("IMPORTRANGE(""https://docs.google.com/spreadsheets/d/1eHaY18a8A9IcSdp1K8H6x8fbOy06t2VsZHhMHf-1x7Y/edit?usp=sharing"",""แผน!IQ80"")"),0)</f>
        <v>0</v>
      </c>
      <c r="J679" s="37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t="shared" ca="1" si="410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IFERROR(__xludf.DUMMYFUNCTION("IMPORTRANGE(""https://docs.google.com/spreadsheets/d/1eHaY18a8A9IcSdp1K8H6x8fbOy06t2VsZHhMHf-1x7Y/edit?usp=sharing"",""แผน!IR80"")"),0)</f>
        <v>0</v>
      </c>
      <c r="J681" s="37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t="shared" ref="K681:K682" ca="1" si="411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IFERROR(__xludf.DUMMYFUNCTION("IMPORTRANGE(""https://docs.google.com/spreadsheets/d/1eHaY18a8A9IcSdp1K8H6x8fbOy06t2VsZHhMHf-1x7Y/edit?usp=sharing"",""แผน!IS80"")"),0)</f>
        <v>0</v>
      </c>
      <c r="J682" s="371">
        <f>J685+J688</f>
        <v>0</v>
      </c>
      <c r="K682" s="133">
        <f t="shared" ca="1" si="411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hidden="1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2">I707</f>
        <v>0</v>
      </c>
      <c r="J689" s="844">
        <f t="shared" ca="1" si="412"/>
        <v>0</v>
      </c>
      <c r="K689" s="505">
        <f ca="1">IF(I689&gt;0,J689*100/I689,0)</f>
        <v>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hidden="1" x14ac:dyDescent="0.3">
      <c r="A690" s="129"/>
      <c r="B690" s="160"/>
      <c r="C690" s="191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3">L691+L692</f>
        <v>0</v>
      </c>
      <c r="M690" s="133">
        <f t="shared" si="413"/>
        <v>0</v>
      </c>
      <c r="N690" s="133">
        <f t="shared" si="413"/>
        <v>0</v>
      </c>
      <c r="O690" s="133">
        <f t="shared" ref="O690:O698" si="414">IF(L690&gt;0,N690*100/L690,0)</f>
        <v>0</v>
      </c>
      <c r="P690" s="133">
        <f t="shared" ref="P690:P698" si="415">IF(M690&gt;0,N690*100/M690,0)</f>
        <v>0</v>
      </c>
      <c r="Q690" s="133">
        <f t="shared" ref="Q690:S690" ca="1" si="416">Q691+Q692</f>
        <v>0</v>
      </c>
      <c r="R690" s="133">
        <f t="shared" ca="1" si="416"/>
        <v>0</v>
      </c>
      <c r="S690" s="133">
        <f t="shared" ca="1" si="416"/>
        <v>0</v>
      </c>
      <c r="T690" s="133">
        <f t="shared" ref="T690:T698" ca="1" si="417">IF(Q690&gt;0,S690*100/Q690,0)</f>
        <v>0</v>
      </c>
      <c r="U690" s="133">
        <f t="shared" ref="U690:U698" ca="1" si="418">IF(R690&gt;0,S690*100/R690,0)</f>
        <v>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19">L694+L697</f>
        <v>0</v>
      </c>
      <c r="M691" s="49">
        <f t="shared" si="419"/>
        <v>0</v>
      </c>
      <c r="N691" s="49">
        <f t="shared" si="419"/>
        <v>0</v>
      </c>
      <c r="O691" s="49">
        <f t="shared" si="414"/>
        <v>0</v>
      </c>
      <c r="P691" s="49">
        <f t="shared" si="415"/>
        <v>0</v>
      </c>
      <c r="Q691" s="49">
        <f t="shared" ref="Q691:S692" si="420">Q694+Q697</f>
        <v>0</v>
      </c>
      <c r="R691" s="49">
        <f t="shared" si="420"/>
        <v>0</v>
      </c>
      <c r="S691" s="49">
        <f t="shared" si="420"/>
        <v>0</v>
      </c>
      <c r="T691" s="49">
        <f t="shared" si="417"/>
        <v>0</v>
      </c>
      <c r="U691" s="49">
        <f t="shared" si="418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19"/>
        <v>0</v>
      </c>
      <c r="M692" s="47">
        <f t="shared" si="419"/>
        <v>0</v>
      </c>
      <c r="N692" s="47">
        <f t="shared" si="419"/>
        <v>0</v>
      </c>
      <c r="O692" s="47">
        <f t="shared" si="414"/>
        <v>0</v>
      </c>
      <c r="P692" s="47">
        <f t="shared" si="415"/>
        <v>0</v>
      </c>
      <c r="Q692" s="47">
        <f t="shared" ca="1" si="420"/>
        <v>0</v>
      </c>
      <c r="R692" s="47">
        <f t="shared" ca="1" si="420"/>
        <v>0</v>
      </c>
      <c r="S692" s="47">
        <f t="shared" ca="1" si="420"/>
        <v>0</v>
      </c>
      <c r="T692" s="47">
        <f t="shared" ca="1" si="417"/>
        <v>0</v>
      </c>
      <c r="U692" s="47">
        <f t="shared" ca="1" si="418"/>
        <v>0</v>
      </c>
    </row>
    <row r="693" spans="1:21" ht="18.75" hidden="1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1">L694+L695</f>
        <v>0</v>
      </c>
      <c r="M693" s="47">
        <f t="shared" si="421"/>
        <v>0</v>
      </c>
      <c r="N693" s="47">
        <f t="shared" si="421"/>
        <v>0</v>
      </c>
      <c r="O693" s="47">
        <f t="shared" si="414"/>
        <v>0</v>
      </c>
      <c r="P693" s="47">
        <f t="shared" si="415"/>
        <v>0</v>
      </c>
      <c r="Q693" s="47">
        <f t="shared" ref="Q693:S693" ca="1" si="422">Q694+Q695</f>
        <v>0</v>
      </c>
      <c r="R693" s="47">
        <f t="shared" ca="1" si="422"/>
        <v>0</v>
      </c>
      <c r="S693" s="47">
        <f t="shared" ca="1" si="422"/>
        <v>0</v>
      </c>
      <c r="T693" s="47">
        <f t="shared" ca="1" si="417"/>
        <v>0</v>
      </c>
      <c r="U693" s="47">
        <f t="shared" ca="1" si="418"/>
        <v>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4"/>
        <v>0</v>
      </c>
      <c r="P694" s="49">
        <f t="shared" si="415"/>
        <v>0</v>
      </c>
      <c r="Q694" s="49">
        <v>0</v>
      </c>
      <c r="R694" s="49">
        <v>0</v>
      </c>
      <c r="S694" s="49">
        <v>0</v>
      </c>
      <c r="T694" s="49">
        <f t="shared" si="417"/>
        <v>0</v>
      </c>
      <c r="U694" s="49">
        <f t="shared" si="418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4"/>
        <v>0</v>
      </c>
      <c r="P695" s="47">
        <f t="shared" si="415"/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t="shared" ca="1" si="417"/>
        <v>0</v>
      </c>
      <c r="U695" s="47">
        <f t="shared" ca="1" si="418"/>
        <v>0</v>
      </c>
    </row>
    <row r="696" spans="1:21" ht="18.75" hidden="1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3">L697+L698</f>
        <v>0</v>
      </c>
      <c r="M696" s="47">
        <f t="shared" si="423"/>
        <v>0</v>
      </c>
      <c r="N696" s="47">
        <f t="shared" si="423"/>
        <v>0</v>
      </c>
      <c r="O696" s="47">
        <f t="shared" si="414"/>
        <v>0</v>
      </c>
      <c r="P696" s="47">
        <f t="shared" si="415"/>
        <v>0</v>
      </c>
      <c r="Q696" s="47">
        <f t="shared" ref="Q696:S696" si="424">Q697+Q698</f>
        <v>0</v>
      </c>
      <c r="R696" s="47">
        <f t="shared" si="424"/>
        <v>0</v>
      </c>
      <c r="S696" s="47">
        <f t="shared" si="424"/>
        <v>0</v>
      </c>
      <c r="T696" s="47">
        <f t="shared" si="417"/>
        <v>0</v>
      </c>
      <c r="U696" s="47">
        <f t="shared" si="418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4"/>
        <v>0</v>
      </c>
      <c r="P697" s="49">
        <f t="shared" si="415"/>
        <v>0</v>
      </c>
      <c r="Q697" s="49">
        <v>0</v>
      </c>
      <c r="R697" s="49">
        <v>0</v>
      </c>
      <c r="S697" s="49">
        <v>0</v>
      </c>
      <c r="T697" s="49">
        <f t="shared" si="417"/>
        <v>0</v>
      </c>
      <c r="U697" s="49">
        <f t="shared" si="418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4"/>
        <v>0</v>
      </c>
      <c r="P698" s="47">
        <f t="shared" si="415"/>
        <v>0</v>
      </c>
      <c r="Q698" s="47">
        <v>0</v>
      </c>
      <c r="R698" s="47">
        <v>0</v>
      </c>
      <c r="S698" s="47">
        <v>0</v>
      </c>
      <c r="T698" s="47">
        <f t="shared" si="417"/>
        <v>0</v>
      </c>
      <c r="U698" s="47">
        <f t="shared" si="418"/>
        <v>0</v>
      </c>
    </row>
    <row r="699" spans="1:21" ht="19.5" hidden="1" x14ac:dyDescent="0.3">
      <c r="A699" s="139"/>
      <c r="B699" s="140"/>
      <c r="C699" s="191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IFERROR(__xludf.DUMMYFUNCTION("IMPORTRANGE(""https://docs.google.com/spreadsheets/d/1eHaY18a8A9IcSdp1K8H6x8fbOy06t2VsZHhMHf-1x7Y/edit?usp=sharing"",""แผน!LC80"")"),0)</f>
        <v>0</v>
      </c>
      <c r="J700" s="169">
        <v>0</v>
      </c>
      <c r="K700" s="154">
        <f t="shared" ref="K700:K710" ca="1" si="425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hidden="1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6">I703+I705</f>
        <v>0</v>
      </c>
      <c r="J701" s="371">
        <f t="shared" ca="1" si="426"/>
        <v>0</v>
      </c>
      <c r="K701" s="133">
        <f t="shared" ca="1" si="425"/>
        <v>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hidden="1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5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hidden="1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IFERROR(__xludf.DUMMYFUNCTION("IMPORTRANGE(""https://docs.google.com/spreadsheets/d/1eHaY18a8A9IcSdp1K8H6x8fbOy06t2VsZHhMHf-1x7Y/edit?usp=sharing"",""แผน!LJ80"")"),0)</f>
        <v>0</v>
      </c>
      <c r="J703" s="37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t="shared" ca="1" si="425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hidden="1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 t="shared" si="425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hidden="1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IFERROR(__xludf.DUMMYFUNCTION("IMPORTRANGE(""https://docs.google.com/spreadsheets/d/1eHaY18a8A9IcSdp1K8H6x8fbOy06t2VsZHhMHf-1x7Y/edit?usp=sharing"",""แผน!LK80"")"),0)</f>
        <v>0</v>
      </c>
      <c r="J705" s="372">
        <f ca="1">IFERROR(__xludf.DUMMYFUNCTION("IMPORTRANGE(""https://docs.google.com/spreadsheets/d/1tdoBKaGub7dwA3U6UFTqxio9LNnvDCQjHKmttSEBsFQ/edit?usp=sharing"",""จัดที่ดิน!AR80"")"),0)</f>
        <v>0</v>
      </c>
      <c r="K705" s="154">
        <f t="shared" ca="1" si="425"/>
        <v>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hidden="1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 t="shared" si="425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hidden="1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IFERROR(__xludf.DUMMYFUNCTION("IMPORTRANGE(""https://docs.google.com/spreadsheets/d/1eHaY18a8A9IcSdp1K8H6x8fbOy06t2VsZHhMHf-1x7Y/edit?usp=sharing"",""แผน!LJ80"")"),0)</f>
        <v>0</v>
      </c>
      <c r="J707" s="37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t="shared" ca="1" si="425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hidden="1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 t="shared" si="425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hidden="1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IFERROR(__xludf.DUMMYFUNCTION("IMPORTRANGE(""https://docs.google.com/spreadsheets/d/1eHaY18a8A9IcSdp1K8H6x8fbOy06t2VsZHhMHf-1x7Y/edit?usp=sharing"",""แผน!LK80"")"),0)</f>
        <v>0</v>
      </c>
      <c r="J709" s="37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t="shared" ca="1" si="425"/>
        <v>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 t="shared" si="425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7">L715+L716</f>
        <v>0</v>
      </c>
      <c r="M714" s="133">
        <f t="shared" si="427"/>
        <v>0</v>
      </c>
      <c r="N714" s="133">
        <f t="shared" si="427"/>
        <v>0</v>
      </c>
      <c r="O714" s="133">
        <f t="shared" ref="O714:O722" si="428">IF(L714&gt;0,N714*100/L714,0)</f>
        <v>0</v>
      </c>
      <c r="P714" s="133">
        <f t="shared" ref="P714:P722" si="429">IF(M714&gt;0,N714*100/M714,0)</f>
        <v>0</v>
      </c>
      <c r="Q714" s="133">
        <f t="shared" ref="Q714:S714" si="430">Q715+Q716</f>
        <v>0</v>
      </c>
      <c r="R714" s="133">
        <f t="shared" si="430"/>
        <v>0</v>
      </c>
      <c r="S714" s="133">
        <f t="shared" si="430"/>
        <v>0</v>
      </c>
      <c r="T714" s="133">
        <f t="shared" ref="T714:T722" si="431">IF(Q714&gt;0,S714*100/Q714,0)</f>
        <v>0</v>
      </c>
      <c r="U714" s="133">
        <f t="shared" ref="U714:U722" si="432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3">L718+L721</f>
        <v>0</v>
      </c>
      <c r="M715" s="49">
        <f t="shared" si="433"/>
        <v>0</v>
      </c>
      <c r="N715" s="49">
        <f t="shared" si="433"/>
        <v>0</v>
      </c>
      <c r="O715" s="49">
        <f t="shared" si="428"/>
        <v>0</v>
      </c>
      <c r="P715" s="49">
        <f t="shared" si="429"/>
        <v>0</v>
      </c>
      <c r="Q715" s="49">
        <f t="shared" ref="Q715:S716" si="434">Q718+Q721</f>
        <v>0</v>
      </c>
      <c r="R715" s="49">
        <f t="shared" si="434"/>
        <v>0</v>
      </c>
      <c r="S715" s="49">
        <f t="shared" si="434"/>
        <v>0</v>
      </c>
      <c r="T715" s="49">
        <f t="shared" si="431"/>
        <v>0</v>
      </c>
      <c r="U715" s="49">
        <f t="shared" si="432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3"/>
        <v>0</v>
      </c>
      <c r="M716" s="47">
        <f t="shared" si="433"/>
        <v>0</v>
      </c>
      <c r="N716" s="47">
        <f t="shared" si="433"/>
        <v>0</v>
      </c>
      <c r="O716" s="47">
        <f t="shared" si="428"/>
        <v>0</v>
      </c>
      <c r="P716" s="47">
        <f t="shared" si="429"/>
        <v>0</v>
      </c>
      <c r="Q716" s="47">
        <f t="shared" si="434"/>
        <v>0</v>
      </c>
      <c r="R716" s="47">
        <f t="shared" si="434"/>
        <v>0</v>
      </c>
      <c r="S716" s="47">
        <f t="shared" si="434"/>
        <v>0</v>
      </c>
      <c r="T716" s="47">
        <f t="shared" si="431"/>
        <v>0</v>
      </c>
      <c r="U716" s="47">
        <f t="shared" si="432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5">L718+L719</f>
        <v>0</v>
      </c>
      <c r="M717" s="47">
        <f t="shared" si="435"/>
        <v>0</v>
      </c>
      <c r="N717" s="47">
        <f t="shared" si="435"/>
        <v>0</v>
      </c>
      <c r="O717" s="47">
        <f t="shared" si="428"/>
        <v>0</v>
      </c>
      <c r="P717" s="47">
        <f t="shared" si="429"/>
        <v>0</v>
      </c>
      <c r="Q717" s="47">
        <f t="shared" ref="Q717:S717" si="436">Q718+Q719</f>
        <v>0</v>
      </c>
      <c r="R717" s="47">
        <f t="shared" si="436"/>
        <v>0</v>
      </c>
      <c r="S717" s="47">
        <f t="shared" si="436"/>
        <v>0</v>
      </c>
      <c r="T717" s="47">
        <f t="shared" si="431"/>
        <v>0</v>
      </c>
      <c r="U717" s="47">
        <f t="shared" si="432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8"/>
        <v>0</v>
      </c>
      <c r="P718" s="49">
        <f t="shared" si="429"/>
        <v>0</v>
      </c>
      <c r="Q718" s="49">
        <v>0</v>
      </c>
      <c r="R718" s="49">
        <v>0</v>
      </c>
      <c r="S718" s="49">
        <v>0</v>
      </c>
      <c r="T718" s="49">
        <f t="shared" si="431"/>
        <v>0</v>
      </c>
      <c r="U718" s="49">
        <f t="shared" si="432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8"/>
        <v>0</v>
      </c>
      <c r="P719" s="47">
        <f t="shared" si="429"/>
        <v>0</v>
      </c>
      <c r="Q719" s="47">
        <v>0</v>
      </c>
      <c r="R719" s="47">
        <v>0</v>
      </c>
      <c r="S719" s="47">
        <v>0</v>
      </c>
      <c r="T719" s="47">
        <f t="shared" si="431"/>
        <v>0</v>
      </c>
      <c r="U719" s="47">
        <f t="shared" si="432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7">L721+L722</f>
        <v>0</v>
      </c>
      <c r="M720" s="47">
        <f t="shared" si="437"/>
        <v>0</v>
      </c>
      <c r="N720" s="47">
        <f t="shared" si="437"/>
        <v>0</v>
      </c>
      <c r="O720" s="47">
        <f t="shared" si="428"/>
        <v>0</v>
      </c>
      <c r="P720" s="47">
        <f t="shared" si="429"/>
        <v>0</v>
      </c>
      <c r="Q720" s="47">
        <f t="shared" ref="Q720:S720" si="438">Q721+Q722</f>
        <v>0</v>
      </c>
      <c r="R720" s="47">
        <f t="shared" si="438"/>
        <v>0</v>
      </c>
      <c r="S720" s="47">
        <f t="shared" si="438"/>
        <v>0</v>
      </c>
      <c r="T720" s="47">
        <f t="shared" si="431"/>
        <v>0</v>
      </c>
      <c r="U720" s="47">
        <f t="shared" si="432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8"/>
        <v>0</v>
      </c>
      <c r="P721" s="49">
        <f t="shared" si="429"/>
        <v>0</v>
      </c>
      <c r="Q721" s="49">
        <v>0</v>
      </c>
      <c r="R721" s="49">
        <v>0</v>
      </c>
      <c r="S721" s="49">
        <v>0</v>
      </c>
      <c r="T721" s="49">
        <f t="shared" si="431"/>
        <v>0</v>
      </c>
      <c r="U721" s="49">
        <f t="shared" si="432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8"/>
        <v>0</v>
      </c>
      <c r="P722" s="47">
        <f t="shared" si="429"/>
        <v>0</v>
      </c>
      <c r="Q722" s="47">
        <v>0</v>
      </c>
      <c r="R722" s="47">
        <v>0</v>
      </c>
      <c r="S722" s="47">
        <v>0</v>
      </c>
      <c r="T722" s="47">
        <f t="shared" si="431"/>
        <v>0</v>
      </c>
      <c r="U722" s="47">
        <f t="shared" si="432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IFERROR(__xludf.DUMMYFUNCTION("IMPORTRANGE(""https://docs.google.com/spreadsheets/d/1eHaY18a8A9IcSdp1K8H6x8fbOy06t2VsZHhMHf-1x7Y/edit?usp=sharing"",""แผน!GA80"")"),6)</f>
        <v>6</v>
      </c>
      <c r="J726" s="504">
        <f>J742+J746+J749</f>
        <v>7</v>
      </c>
      <c r="K726" s="505">
        <f t="shared" ref="K726:K727" ca="1" si="439">IF(I726&gt;0,J726*100/I726,0)</f>
        <v>116.66666666666667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IFERROR(__xludf.DUMMYFUNCTION("IMPORTRANGE(""https://docs.google.com/spreadsheets/d/1eHaY18a8A9IcSdp1K8H6x8fbOy06t2VsZHhMHf-1x7Y/edit?usp=sharing"",""แผน!FZ80"")"),50)</f>
        <v>50</v>
      </c>
      <c r="J727" s="504">
        <f>J752+J755</f>
        <v>50</v>
      </c>
      <c r="K727" s="505">
        <f t="shared" ca="1" si="439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0">L729+L730</f>
        <v>0</v>
      </c>
      <c r="M728" s="133">
        <f t="shared" si="440"/>
        <v>0</v>
      </c>
      <c r="N728" s="133">
        <f t="shared" si="440"/>
        <v>0</v>
      </c>
      <c r="O728" s="133">
        <f t="shared" ref="O728:O736" si="441">IF(L728&gt;0,N728*100/L728,0)</f>
        <v>0</v>
      </c>
      <c r="P728" s="133">
        <f t="shared" ref="P728:P736" si="442">IF(M728&gt;0,N728*100/M728,0)</f>
        <v>0</v>
      </c>
      <c r="Q728" s="133">
        <f t="shared" ref="Q728:S728" ca="1" si="443">Q729+Q730</f>
        <v>79606</v>
      </c>
      <c r="R728" s="133">
        <f t="shared" ca="1" si="443"/>
        <v>79606</v>
      </c>
      <c r="S728" s="133">
        <f t="shared" ca="1" si="443"/>
        <v>78506</v>
      </c>
      <c r="T728" s="133">
        <f t="shared" ref="T728:T736" ca="1" si="444">IF(Q728&gt;0,S728*100/Q728,0)</f>
        <v>98.618194608446601</v>
      </c>
      <c r="U728" s="133">
        <f t="shared" ref="U728:U736" ca="1" si="445">IF(R728&gt;0,S728*100/R728,0)</f>
        <v>98.618194608446601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6">L732+L735</f>
        <v>0</v>
      </c>
      <c r="M729" s="49">
        <f t="shared" si="446"/>
        <v>0</v>
      </c>
      <c r="N729" s="49">
        <f t="shared" si="446"/>
        <v>0</v>
      </c>
      <c r="O729" s="49">
        <f t="shared" si="441"/>
        <v>0</v>
      </c>
      <c r="P729" s="49">
        <f t="shared" si="442"/>
        <v>0</v>
      </c>
      <c r="Q729" s="49">
        <f t="shared" ref="Q729:S730" si="447">Q732+Q735</f>
        <v>0</v>
      </c>
      <c r="R729" s="49">
        <f t="shared" si="447"/>
        <v>0</v>
      </c>
      <c r="S729" s="49">
        <f t="shared" si="447"/>
        <v>0</v>
      </c>
      <c r="T729" s="49">
        <f t="shared" si="444"/>
        <v>0</v>
      </c>
      <c r="U729" s="49">
        <f t="shared" si="445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6"/>
        <v>0</v>
      </c>
      <c r="M730" s="47">
        <f t="shared" si="446"/>
        <v>0</v>
      </c>
      <c r="N730" s="47">
        <f t="shared" si="446"/>
        <v>0</v>
      </c>
      <c r="O730" s="47">
        <f t="shared" si="441"/>
        <v>0</v>
      </c>
      <c r="P730" s="47">
        <f t="shared" si="442"/>
        <v>0</v>
      </c>
      <c r="Q730" s="47">
        <f t="shared" ca="1" si="447"/>
        <v>79606</v>
      </c>
      <c r="R730" s="47">
        <f t="shared" ca="1" si="447"/>
        <v>79606</v>
      </c>
      <c r="S730" s="47">
        <f t="shared" ca="1" si="447"/>
        <v>78506</v>
      </c>
      <c r="T730" s="47">
        <f t="shared" ca="1" si="444"/>
        <v>98.618194608446601</v>
      </c>
      <c r="U730" s="47">
        <f t="shared" ca="1" si="445"/>
        <v>98.618194608446601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8">L732+L733</f>
        <v>0</v>
      </c>
      <c r="M731" s="47">
        <f t="shared" si="448"/>
        <v>0</v>
      </c>
      <c r="N731" s="47">
        <f t="shared" si="448"/>
        <v>0</v>
      </c>
      <c r="O731" s="47">
        <f t="shared" si="441"/>
        <v>0</v>
      </c>
      <c r="P731" s="47">
        <f t="shared" si="442"/>
        <v>0</v>
      </c>
      <c r="Q731" s="47">
        <f t="shared" ref="Q731:S731" ca="1" si="449">Q732+Q733</f>
        <v>79606</v>
      </c>
      <c r="R731" s="47">
        <f t="shared" ca="1" si="449"/>
        <v>79606</v>
      </c>
      <c r="S731" s="47">
        <f t="shared" ca="1" si="449"/>
        <v>78506</v>
      </c>
      <c r="T731" s="47">
        <f t="shared" ca="1" si="444"/>
        <v>98.618194608446601</v>
      </c>
      <c r="U731" s="47">
        <f t="shared" ca="1" si="445"/>
        <v>98.618194608446601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1"/>
        <v>0</v>
      </c>
      <c r="P732" s="49">
        <f t="shared" si="442"/>
        <v>0</v>
      </c>
      <c r="Q732" s="49">
        <v>0</v>
      </c>
      <c r="R732" s="49">
        <v>0</v>
      </c>
      <c r="S732" s="49">
        <v>0</v>
      </c>
      <c r="T732" s="49">
        <f t="shared" si="444"/>
        <v>0</v>
      </c>
      <c r="U732" s="49">
        <f t="shared" si="445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1"/>
        <v>0</v>
      </c>
      <c r="P733" s="47">
        <f t="shared" si="442"/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IFERROR(__xludf.DUMMYFUNCTION("IMPORTRANGE(""https://docs.google.com/spreadsheets/d/1ItG2mGa2ceCfYo0BwxsXqNm01IGEUdYcSSLTEv9YCik/edit?usp=sharing"",""เบิกจ่ายกองทุน!Q80"")"),78506)</f>
        <v>78506</v>
      </c>
      <c r="T733" s="47">
        <f t="shared" ca="1" si="444"/>
        <v>98.618194608446601</v>
      </c>
      <c r="U733" s="47">
        <f t="shared" ca="1" si="445"/>
        <v>98.618194608446601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0">L735+L736</f>
        <v>0</v>
      </c>
      <c r="M734" s="47">
        <f t="shared" si="450"/>
        <v>0</v>
      </c>
      <c r="N734" s="47">
        <f t="shared" si="450"/>
        <v>0</v>
      </c>
      <c r="O734" s="47">
        <f t="shared" si="441"/>
        <v>0</v>
      </c>
      <c r="P734" s="47">
        <f t="shared" si="442"/>
        <v>0</v>
      </c>
      <c r="Q734" s="47">
        <f t="shared" ref="Q734:S734" si="451">Q735+Q736</f>
        <v>0</v>
      </c>
      <c r="R734" s="47">
        <f t="shared" si="451"/>
        <v>0</v>
      </c>
      <c r="S734" s="47">
        <f t="shared" si="451"/>
        <v>0</v>
      </c>
      <c r="T734" s="47">
        <f t="shared" si="444"/>
        <v>0</v>
      </c>
      <c r="U734" s="47">
        <f t="shared" si="445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1"/>
        <v>0</v>
      </c>
      <c r="P735" s="49">
        <f t="shared" si="442"/>
        <v>0</v>
      </c>
      <c r="Q735" s="49">
        <v>0</v>
      </c>
      <c r="R735" s="49">
        <v>0</v>
      </c>
      <c r="S735" s="49">
        <v>0</v>
      </c>
      <c r="T735" s="49">
        <f t="shared" si="444"/>
        <v>0</v>
      </c>
      <c r="U735" s="49">
        <f t="shared" si="445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1"/>
        <v>0</v>
      </c>
      <c r="P736" s="47">
        <f t="shared" si="442"/>
        <v>0</v>
      </c>
      <c r="Q736" s="47">
        <v>0</v>
      </c>
      <c r="R736" s="47">
        <v>0</v>
      </c>
      <c r="S736" s="47">
        <v>0</v>
      </c>
      <c r="T736" s="47">
        <f t="shared" si="444"/>
        <v>0</v>
      </c>
      <c r="U736" s="47">
        <f t="shared" si="445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IFERROR(__xludf.DUMMYFUNCTION("IMPORTRANGE(""https://docs.google.com/spreadsheets/d/1eHaY18a8A9IcSdp1K8H6x8fbOy06t2VsZHhMHf-1x7Y/edit?usp=sharing"",""แผน!GB80"")"),40)</f>
        <v>40</v>
      </c>
      <c r="J740" s="795">
        <v>40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5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IFERROR(__xludf.DUMMYFUNCTION("IMPORTRANGE(""https://docs.google.com/spreadsheets/d/1eHaY18a8A9IcSdp1K8H6x8fbOy06t2VsZHhMHf-1x7Y/edit?usp=sharing"",""แผน!GC80"")"),4)</f>
        <v>4</v>
      </c>
      <c r="J742" s="795">
        <v>5</v>
      </c>
      <c r="K742" s="352">
        <f ca="1">IF(I742&gt;0,J742*100/I742,0)</f>
        <v>125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IFERROR(__xludf.DUMMYFUNCTION("IMPORTRANGE(""https://docs.google.com/spreadsheets/d/1eHaY18a8A9IcSdp1K8H6x8fbOy06t2VsZHhMHf-1x7Y/edit?usp=sharing"",""แผน!GD80"")"),10)</f>
        <v>10</v>
      </c>
      <c r="J744" s="795">
        <v>10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1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IFERROR(__xludf.DUMMYFUNCTION("IMPORTRANGE(""https://docs.google.com/spreadsheets/d/1eHaY18a8A9IcSdp1K8H6x8fbOy06t2VsZHhMHf-1x7Y/edit?usp=sharing"",""แผน!GE80"")"),1)</f>
        <v>1</v>
      </c>
      <c r="J746" s="795">
        <v>1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1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IFERROR(__xludf.DUMMYFUNCTION("IMPORTRANGE(""https://docs.google.com/spreadsheets/d/1eHaY18a8A9IcSdp1K8H6x8fbOy06t2VsZHhMHf-1x7Y/edit?usp=sharing"",""แผน!GF80"")"),1)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IFERROR(__xludf.DUMMYFUNCTION("IMPORTRANGE(""https://docs.google.com/spreadsheets/d/1eHaY18a8A9IcSdp1K8H6x8fbOy06t2VsZHhMHf-1x7Y/edit?usp=sharing"",""แผน!GB80"")"),40)</f>
        <v>40</v>
      </c>
      <c r="J752" s="795">
        <v>40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40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IFERROR(__xludf.DUMMYFUNCTION("IMPORTRANGE(""https://docs.google.com/spreadsheets/d/1eHaY18a8A9IcSdp1K8H6x8fbOy06t2VsZHhMHf-1x7Y/edit?usp=sharing"",""แผน!GD80"")"),10)</f>
        <v>10</v>
      </c>
      <c r="J755" s="795">
        <v>10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10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2">I772</f>
        <v>10</v>
      </c>
      <c r="J758" s="504">
        <f t="shared" si="452"/>
        <v>10</v>
      </c>
      <c r="K758" s="505">
        <f t="shared" ref="K758:K759" ca="1" si="453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4">I774</f>
        <v>20</v>
      </c>
      <c r="J759" s="504">
        <f t="shared" si="454"/>
        <v>20</v>
      </c>
      <c r="K759" s="505">
        <f t="shared" ca="1" si="453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5">L761+L762</f>
        <v>0</v>
      </c>
      <c r="M760" s="133">
        <f t="shared" si="455"/>
        <v>0</v>
      </c>
      <c r="N760" s="133">
        <f t="shared" si="455"/>
        <v>0</v>
      </c>
      <c r="O760" s="133">
        <f t="shared" ref="O760:O768" si="456">IF(L760&gt;0,N760*100/L760,0)</f>
        <v>0</v>
      </c>
      <c r="P760" s="133">
        <f t="shared" ref="P760:P768" si="457">IF(M760&gt;0,N760*100/M760,0)</f>
        <v>0</v>
      </c>
      <c r="Q760" s="133">
        <f t="shared" ref="Q760:S760" ca="1" si="458">Q761+Q762</f>
        <v>91360</v>
      </c>
      <c r="R760" s="133">
        <f t="shared" ca="1" si="458"/>
        <v>91360</v>
      </c>
      <c r="S760" s="133">
        <f t="shared" ca="1" si="458"/>
        <v>88760</v>
      </c>
      <c r="T760" s="133">
        <f t="shared" ref="T760:T768" ca="1" si="459">IF(Q760&gt;0,S760*100/Q760,0)</f>
        <v>97.154115586690011</v>
      </c>
      <c r="U760" s="133">
        <f t="shared" ref="U760:U768" ca="1" si="460">IF(R760&gt;0,S760*100/R760,0)</f>
        <v>97.154115586690011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1">L764+L767</f>
        <v>0</v>
      </c>
      <c r="M761" s="49">
        <f t="shared" si="461"/>
        <v>0</v>
      </c>
      <c r="N761" s="49">
        <f t="shared" si="461"/>
        <v>0</v>
      </c>
      <c r="O761" s="49">
        <f t="shared" si="456"/>
        <v>0</v>
      </c>
      <c r="P761" s="49">
        <f t="shared" si="457"/>
        <v>0</v>
      </c>
      <c r="Q761" s="49">
        <f t="shared" ref="Q761:S762" si="462">Q764+Q767</f>
        <v>0</v>
      </c>
      <c r="R761" s="49">
        <f t="shared" si="462"/>
        <v>0</v>
      </c>
      <c r="S761" s="49">
        <f t="shared" si="462"/>
        <v>0</v>
      </c>
      <c r="T761" s="49">
        <f t="shared" si="459"/>
        <v>0</v>
      </c>
      <c r="U761" s="49">
        <f t="shared" si="460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1"/>
        <v>0</v>
      </c>
      <c r="M762" s="47">
        <f t="shared" si="461"/>
        <v>0</v>
      </c>
      <c r="N762" s="47">
        <f t="shared" si="461"/>
        <v>0</v>
      </c>
      <c r="O762" s="47">
        <f t="shared" si="456"/>
        <v>0</v>
      </c>
      <c r="P762" s="47">
        <f t="shared" si="457"/>
        <v>0</v>
      </c>
      <c r="Q762" s="47">
        <f t="shared" ca="1" si="462"/>
        <v>91360</v>
      </c>
      <c r="R762" s="47">
        <f t="shared" ca="1" si="462"/>
        <v>91360</v>
      </c>
      <c r="S762" s="47">
        <f t="shared" ca="1" si="462"/>
        <v>88760</v>
      </c>
      <c r="T762" s="47">
        <f t="shared" ca="1" si="459"/>
        <v>97.154115586690011</v>
      </c>
      <c r="U762" s="47">
        <f t="shared" ca="1" si="460"/>
        <v>97.154115586690011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3">L764+L765</f>
        <v>0</v>
      </c>
      <c r="M763" s="47">
        <f t="shared" si="463"/>
        <v>0</v>
      </c>
      <c r="N763" s="47">
        <f t="shared" si="463"/>
        <v>0</v>
      </c>
      <c r="O763" s="47">
        <f t="shared" si="456"/>
        <v>0</v>
      </c>
      <c r="P763" s="47">
        <f t="shared" si="457"/>
        <v>0</v>
      </c>
      <c r="Q763" s="47">
        <f t="shared" ref="Q763:S763" ca="1" si="464">Q764+Q765</f>
        <v>91360</v>
      </c>
      <c r="R763" s="47">
        <f t="shared" ca="1" si="464"/>
        <v>91360</v>
      </c>
      <c r="S763" s="47">
        <f t="shared" ca="1" si="464"/>
        <v>88760</v>
      </c>
      <c r="T763" s="47">
        <f t="shared" ca="1" si="459"/>
        <v>97.154115586690011</v>
      </c>
      <c r="U763" s="47">
        <f t="shared" ca="1" si="460"/>
        <v>97.154115586690011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6"/>
        <v>0</v>
      </c>
      <c r="P764" s="49">
        <f t="shared" si="457"/>
        <v>0</v>
      </c>
      <c r="Q764" s="49">
        <v>0</v>
      </c>
      <c r="R764" s="49">
        <v>0</v>
      </c>
      <c r="S764" s="49">
        <v>0</v>
      </c>
      <c r="T764" s="49">
        <f t="shared" si="459"/>
        <v>0</v>
      </c>
      <c r="U764" s="49">
        <f t="shared" si="460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6"/>
        <v>0</v>
      </c>
      <c r="P765" s="47">
        <f t="shared" si="457"/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IFERROR(__xludf.DUMMYFUNCTION("IMPORTRANGE(""https://docs.google.com/spreadsheets/d/1ItG2mGa2ceCfYo0BwxsXqNm01IGEUdYcSSLTEv9YCik/edit?usp=sharing"",""เบิกจ่ายกองทุน!AC80"")"),88760)</f>
        <v>88760</v>
      </c>
      <c r="T765" s="47">
        <f t="shared" ca="1" si="459"/>
        <v>97.154115586690011</v>
      </c>
      <c r="U765" s="47">
        <f t="shared" ca="1" si="460"/>
        <v>97.154115586690011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5">L767+L768</f>
        <v>0</v>
      </c>
      <c r="M766" s="47">
        <f t="shared" si="465"/>
        <v>0</v>
      </c>
      <c r="N766" s="47">
        <f t="shared" si="465"/>
        <v>0</v>
      </c>
      <c r="O766" s="47">
        <f t="shared" si="456"/>
        <v>0</v>
      </c>
      <c r="P766" s="47">
        <f t="shared" si="457"/>
        <v>0</v>
      </c>
      <c r="Q766" s="47">
        <f t="shared" ref="Q766:S766" si="466">Q767+Q768</f>
        <v>0</v>
      </c>
      <c r="R766" s="47">
        <f t="shared" si="466"/>
        <v>0</v>
      </c>
      <c r="S766" s="47">
        <f t="shared" si="466"/>
        <v>0</v>
      </c>
      <c r="T766" s="47">
        <f t="shared" si="459"/>
        <v>0</v>
      </c>
      <c r="U766" s="47">
        <f t="shared" si="460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6"/>
        <v>0</v>
      </c>
      <c r="P767" s="49">
        <f t="shared" si="457"/>
        <v>0</v>
      </c>
      <c r="Q767" s="49">
        <v>0</v>
      </c>
      <c r="R767" s="49">
        <v>0</v>
      </c>
      <c r="S767" s="49">
        <v>0</v>
      </c>
      <c r="T767" s="49">
        <f t="shared" si="459"/>
        <v>0</v>
      </c>
      <c r="U767" s="49">
        <f t="shared" si="460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6"/>
        <v>0</v>
      </c>
      <c r="P768" s="47">
        <f t="shared" si="457"/>
        <v>0</v>
      </c>
      <c r="Q768" s="47">
        <v>0</v>
      </c>
      <c r="R768" s="47">
        <v>0</v>
      </c>
      <c r="S768" s="47">
        <v>0</v>
      </c>
      <c r="T768" s="47">
        <f t="shared" si="459"/>
        <v>0</v>
      </c>
      <c r="U768" s="47">
        <f t="shared" si="460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IFERROR(__xludf.DUMMYFUNCTION("IMPORTRANGE(""https://docs.google.com/spreadsheets/d/1eHaY18a8A9IcSdp1K8H6x8fbOy06t2VsZHhMHf-1x7Y/edit?usp=sharing"",""แผน!FI80"")"),1)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IFERROR(__xludf.DUMMYFUNCTION("IMPORTRANGE(""https://docs.google.com/spreadsheets/d/1eHaY18a8A9IcSdp1K8H6x8fbOy06t2VsZHhMHf-1x7Y/edit?usp=sharing"",""แผน!FQ80"")"),10)</f>
        <v>10</v>
      </c>
      <c r="J772" s="169">
        <v>10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IFERROR(__xludf.DUMMYFUNCTION("IMPORTRANGE(""https://docs.google.com/spreadsheets/d/1eHaY18a8A9IcSdp1K8H6x8fbOy06t2VsZHhMHf-1x7Y/edit?usp=sharing"",""แผน!FR80"")"),20)</f>
        <v>20</v>
      </c>
      <c r="J774" s="169">
        <v>20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IFERROR(__xludf.DUMMYFUNCTION("IMPORTRANGE(""https://docs.google.com/spreadsheets/d/1eHaY18a8A9IcSdp1K8H6x8fbOy06t2VsZHhMHf-1x7Y/edit?usp=sharing"",""แผน!FS80"")"),20)</f>
        <v>20</v>
      </c>
      <c r="J775" s="169">
        <v>20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IFERROR(__xludf.DUMMYFUNCTION("IMPORTRANGE(""https://docs.google.com/spreadsheets/d/1eHaY18a8A9IcSdp1K8H6x8fbOy06t2VsZHhMHf-1x7Y/edit?usp=sharing"",""แผน!FT80"")"),10)</f>
        <v>10</v>
      </c>
      <c r="J776" s="378">
        <v>10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372">
        <f ca="1">IFERROR(__xludf.DUMMYFUNCTION("IMPORTRANGE(""https://docs.google.com/spreadsheets/d/10OvvATaaLtwErnr3qtWFcTmtbfpFEt5Bsqel9sXx0uE/edit?usp=sharing"",""งานกองทุน!F80"")"),286578.41)</f>
        <v>286578.40999999997</v>
      </c>
      <c r="K778" s="47">
        <f t="shared" ref="K778:K785" ca="1" si="467">IF(I778&gt;0,J778*100/I778,0)</f>
        <v>58.913933354111677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IFERROR(__xludf.DUMMYFUNCTION("IMPORTRANGE(""https://docs.google.com/spreadsheets/d/10OvvATaaLtwErnr3qtWFcTmtbfpFEt5Bsqel9sXx0uE/edit?usp=sharing"",""งานกองทุน!C80"")"),35)</f>
        <v>35</v>
      </c>
      <c r="J779" s="372">
        <f ca="1">IFERROR(__xludf.DUMMYFUNCTION("IMPORTRANGE(""https://docs.google.com/spreadsheets/d/10OvvATaaLtwErnr3qtWFcTmtbfpFEt5Bsqel9sXx0uE/edit?usp=sharing"",""งานกองทุน!E80"")"),27)</f>
        <v>27</v>
      </c>
      <c r="K779" s="47">
        <f t="shared" ca="1" si="467"/>
        <v>77.142857142857139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372">
        <f ca="1">IFERROR(__xludf.DUMMYFUNCTION("IMPORTRANGE(""https://docs.google.com/spreadsheets/d/10OvvATaaLtwErnr3qtWFcTmtbfpFEt5Bsqel9sXx0uE/edit?usp=sharing"",""งานกองทุน!K80"")"),88041.99)</f>
        <v>88041.99</v>
      </c>
      <c r="K780" s="47">
        <f t="shared" ca="1" si="467"/>
        <v>4.8969723989980283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IFERROR(__xludf.DUMMYFUNCTION("IMPORTRANGE(""https://docs.google.com/spreadsheets/d/10OvvATaaLtwErnr3qtWFcTmtbfpFEt5Bsqel9sXx0uE/edit?usp=sharing"",""งานกองทุน!H80"")"),124)</f>
        <v>124</v>
      </c>
      <c r="J781" s="37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t="shared" ca="1" si="467"/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IFERROR(__xludf.DUMMYFUNCTION("IMPORTRANGE(""https://docs.google.com/spreadsheets/d/10OvvATaaLtwErnr3qtWFcTmtbfpFEt5Bsqel9sXx0uE/edit?usp=sharing"",""งานกองทุน!N80"")"),29208.33)</f>
        <v>29208.33</v>
      </c>
      <c r="J782" s="372">
        <f ca="1">IFERROR(__xludf.DUMMYFUNCTION("IMPORTRANGE(""https://docs.google.com/spreadsheets/d/10OvvATaaLtwErnr3qtWFcTmtbfpFEt5Bsqel9sXx0uE/edit?usp=sharing"",""งานกองทุน!P80"")"),11870.58)</f>
        <v>11870.58</v>
      </c>
      <c r="K782" s="47">
        <f t="shared" ca="1" si="467"/>
        <v>40.641077391278444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IFERROR(__xludf.DUMMYFUNCTION("IMPORTRANGE(""https://docs.google.com/spreadsheets/d/10OvvATaaLtwErnr3qtWFcTmtbfpFEt5Bsqel9sXx0uE/edit?usp=sharing"",""งานกองทุน!M80"")"),87)</f>
        <v>87</v>
      </c>
      <c r="J783" s="372">
        <f ca="1">IFERROR(__xludf.DUMMYFUNCTION("IMPORTRANGE(""https://docs.google.com/spreadsheets/d/10OvvATaaLtwErnr3qtWFcTmtbfpFEt5Bsqel9sXx0uE/edit?usp=sharing"",""งานกองทุน!O80"")"),9)</f>
        <v>9</v>
      </c>
      <c r="K783" s="47">
        <f t="shared" ca="1" si="467"/>
        <v>10.344827586206897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IFERROR(__xludf.DUMMYFUNCTION("IMPORTRANGE(""https://docs.google.com/spreadsheets/d/10OvvATaaLtwErnr3qtWFcTmtbfpFEt5Bsqel9sXx0uE/edit?usp=sharing"",""งานกองทุน!S80"")"),448000)</f>
        <v>448000</v>
      </c>
      <c r="J784" s="37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t="shared" ca="1" si="467"/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IFERROR(__xludf.DUMMYFUNCTION("IMPORTRANGE(""https://docs.google.com/spreadsheets/d/10OvvATaaLtwErnr3qtWFcTmtbfpFEt5Bsqel9sXx0uE/edit?usp=sharing"",""งานกองทุน!R80"")"),16)</f>
        <v>16</v>
      </c>
      <c r="J785" s="205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t="shared" ca="1" si="467"/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BACD1-23AA-4BA7-9AB9-4D1CC1430CB0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326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5374620</v>
      </c>
      <c r="M18" s="35">
        <f t="shared" ca="1" si="0"/>
        <v>5657382.5800000001</v>
      </c>
      <c r="N18" s="35">
        <f t="shared" ca="1" si="0"/>
        <v>5307031.16</v>
      </c>
      <c r="O18" s="35">
        <f t="shared" ref="O18:O26" ca="1" si="1">IF(L18&gt;0,N18*100/L18,0)</f>
        <v>98.742444303039093</v>
      </c>
      <c r="P18" s="35">
        <f t="shared" ref="P18:P26" ca="1" si="2">IF(M18&gt;0,N18*100/M18,0)</f>
        <v>93.807181765670862</v>
      </c>
      <c r="Q18" s="35">
        <f t="shared" ref="Q18:S18" ca="1" si="3">Q19+Q20</f>
        <v>957372.22</v>
      </c>
      <c r="R18" s="35">
        <f t="shared" ca="1" si="3"/>
        <v>852986</v>
      </c>
      <c r="S18" s="35">
        <f t="shared" ca="1" si="3"/>
        <v>783046</v>
      </c>
      <c r="T18" s="35">
        <f t="shared" ref="T18:T26" ca="1" si="4">IF(Q18&gt;0,S18*100/Q18,0)</f>
        <v>81.791176267888787</v>
      </c>
      <c r="U18" s="35">
        <f t="shared" ref="U18:U26" ca="1" si="5">IF(R18&gt;0,S18*100/R18,0)</f>
        <v>91.800568825279669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5374620</v>
      </c>
      <c r="M20" s="39">
        <f t="shared" ca="1" si="6"/>
        <v>5657382.5800000001</v>
      </c>
      <c r="N20" s="39">
        <f t="shared" ca="1" si="6"/>
        <v>5307031.16</v>
      </c>
      <c r="O20" s="39">
        <f t="shared" ca="1" si="1"/>
        <v>98.742444303039093</v>
      </c>
      <c r="P20" s="39">
        <f t="shared" ca="1" si="2"/>
        <v>93.807181765670862</v>
      </c>
      <c r="Q20" s="39">
        <f t="shared" ca="1" si="7"/>
        <v>957372.22</v>
      </c>
      <c r="R20" s="39">
        <f t="shared" ca="1" si="7"/>
        <v>852986</v>
      </c>
      <c r="S20" s="39">
        <f t="shared" ca="1" si="7"/>
        <v>783046</v>
      </c>
      <c r="T20" s="39">
        <f t="shared" ca="1" si="4"/>
        <v>81.791176267888787</v>
      </c>
      <c r="U20" s="39">
        <f t="shared" ca="1" si="5"/>
        <v>91.800568825279669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2174620</v>
      </c>
      <c r="M21" s="47">
        <f t="shared" ca="1" si="8"/>
        <v>2349382.58</v>
      </c>
      <c r="N21" s="47">
        <f t="shared" ca="1" si="8"/>
        <v>1999031.16</v>
      </c>
      <c r="O21" s="47">
        <f t="shared" ca="1" si="1"/>
        <v>91.9255391746604</v>
      </c>
      <c r="P21" s="47">
        <f t="shared" ca="1" si="2"/>
        <v>85.087510949366106</v>
      </c>
      <c r="Q21" s="47">
        <f t="shared" ref="Q21:S21" ca="1" si="9">Q22+Q23</f>
        <v>957372.22</v>
      </c>
      <c r="R21" s="47">
        <f t="shared" ca="1" si="9"/>
        <v>852986</v>
      </c>
      <c r="S21" s="47">
        <f t="shared" ca="1" si="9"/>
        <v>783046</v>
      </c>
      <c r="T21" s="47">
        <f t="shared" ca="1" si="4"/>
        <v>81.791176267888787</v>
      </c>
      <c r="U21" s="47">
        <f t="shared" ca="1" si="5"/>
        <v>91.800568825279669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2174620</v>
      </c>
      <c r="M23" s="47">
        <f t="shared" ca="1" si="12"/>
        <v>2349382.58</v>
      </c>
      <c r="N23" s="47">
        <f t="shared" ca="1" si="12"/>
        <v>1999031.16</v>
      </c>
      <c r="O23" s="47">
        <f t="shared" ca="1" si="1"/>
        <v>91.9255391746604</v>
      </c>
      <c r="P23" s="47">
        <f t="shared" ca="1" si="2"/>
        <v>85.087510949366106</v>
      </c>
      <c r="Q23" s="47">
        <f t="shared" ca="1" si="11"/>
        <v>957372.22</v>
      </c>
      <c r="R23" s="47">
        <f t="shared" ca="1" si="11"/>
        <v>852986</v>
      </c>
      <c r="S23" s="47">
        <f t="shared" ca="1" si="11"/>
        <v>783046</v>
      </c>
      <c r="T23" s="47">
        <f t="shared" ca="1" si="4"/>
        <v>81.791176267888787</v>
      </c>
      <c r="U23" s="47">
        <f t="shared" ca="1" si="5"/>
        <v>91.800568825279669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3200000</v>
      </c>
      <c r="M24" s="47">
        <f t="shared" ca="1" si="13"/>
        <v>3308000</v>
      </c>
      <c r="N24" s="47">
        <f t="shared" ca="1" si="13"/>
        <v>3308000</v>
      </c>
      <c r="O24" s="47">
        <f t="shared" ca="1" si="1"/>
        <v>103.375</v>
      </c>
      <c r="P24" s="47">
        <f t="shared" ca="1" si="2"/>
        <v>100</v>
      </c>
      <c r="Q24" s="47">
        <f t="shared" ref="Q24:S24" ca="1" si="14">Q25+Q26</f>
        <v>0</v>
      </c>
      <c r="R24" s="47">
        <f t="shared" ca="1" si="14"/>
        <v>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3200000</v>
      </c>
      <c r="M26" s="47">
        <f t="shared" ca="1" si="17"/>
        <v>3308000</v>
      </c>
      <c r="N26" s="47">
        <f t="shared" ca="1" si="17"/>
        <v>3308000</v>
      </c>
      <c r="O26" s="47">
        <f t="shared" ca="1" si="1"/>
        <v>103.375</v>
      </c>
      <c r="P26" s="47">
        <f t="shared" ca="1" si="2"/>
        <v>100</v>
      </c>
      <c r="Q26" s="49">
        <f t="shared" ca="1" si="16"/>
        <v>0</v>
      </c>
      <c r="R26" s="49">
        <f t="shared" ca="1" si="16"/>
        <v>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5307970</v>
      </c>
      <c r="M40" s="594">
        <f t="shared" ca="1" si="18"/>
        <v>5590732.5800000001</v>
      </c>
      <c r="N40" s="594">
        <f t="shared" ca="1" si="18"/>
        <v>5279114.16</v>
      </c>
      <c r="O40" s="594">
        <f ca="1">IF(L40&gt;0,N40*100/L40,0)</f>
        <v>99.45636768858904</v>
      </c>
      <c r="P40" s="594">
        <f ca="1">IF(M40&gt;0,N40*100/M40,0)</f>
        <v>94.426161231271053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207420</v>
      </c>
      <c r="M44" s="79">
        <f t="shared" ca="1" si="19"/>
        <v>251062.58</v>
      </c>
      <c r="N44" s="79">
        <f t="shared" ca="1" si="19"/>
        <v>243062.58</v>
      </c>
      <c r="O44" s="79">
        <f t="shared" ref="O44:O52" ca="1" si="20">IF(L44&gt;0,N44*100/L44,0)</f>
        <v>117.18377205669655</v>
      </c>
      <c r="P44" s="79">
        <f t="shared" ref="P44:P52" ca="1" si="21">IF(M44&gt;0,N44*100/M44,0)</f>
        <v>96.813543459961267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207420</v>
      </c>
      <c r="M46" s="83">
        <f t="shared" ca="1" si="25"/>
        <v>251062.58</v>
      </c>
      <c r="N46" s="83">
        <f t="shared" ca="1" si="25"/>
        <v>243062.58</v>
      </c>
      <c r="O46" s="83">
        <f t="shared" ca="1" si="20"/>
        <v>117.18377205669655</v>
      </c>
      <c r="P46" s="83">
        <f t="shared" ca="1" si="21"/>
        <v>96.813543459961267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207420</v>
      </c>
      <c r="M47" s="47">
        <f t="shared" ca="1" si="27"/>
        <v>251062.58</v>
      </c>
      <c r="N47" s="47">
        <f t="shared" ca="1" si="27"/>
        <v>243062.58</v>
      </c>
      <c r="O47" s="47">
        <f t="shared" ca="1" si="20"/>
        <v>117.18377205669655</v>
      </c>
      <c r="P47" s="47">
        <f t="shared" ca="1" si="21"/>
        <v>96.813543459961267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IFERROR(__xludf.DUMMYFUNCTION("IMPORTRANGE(""https://docs.google.com/spreadsheets/d/1-uDff_7J0KD5mKrp0Vvzr7lt3OU09vwQwhkpOPPYv2Y/edit?usp=sharing"",""งบพรบ!V81"")"),251062.58)</f>
        <v>251062.58</v>
      </c>
      <c r="N49" s="47">
        <f ca="1">IFERROR(__xludf.DUMMYFUNCTION("IMPORTRANGE(""https://docs.google.com/spreadsheets/d/1-uDff_7J0KD5mKrp0Vvzr7lt3OU09vwQwhkpOPPYv2Y/edit?usp=sharing"",""งบพรบ!Y81"")"),243062.58)</f>
        <v>243062.58</v>
      </c>
      <c r="O49" s="47">
        <f t="shared" ca="1" si="20"/>
        <v>117.18377205669655</v>
      </c>
      <c r="P49" s="47">
        <f t="shared" ca="1" si="21"/>
        <v>96.813543459961267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4127800</v>
      </c>
      <c r="M59" s="106">
        <f t="shared" ca="1" si="31"/>
        <v>4256930</v>
      </c>
      <c r="N59" s="106">
        <f t="shared" ca="1" si="31"/>
        <v>4209936.26</v>
      </c>
      <c r="O59" s="106">
        <f t="shared" ref="O59:O67" ca="1" si="32">IF(L59&gt;0,N59*100/L59,0)</f>
        <v>101.98983138717961</v>
      </c>
      <c r="P59" s="106">
        <f t="shared" ref="P59:P67" ca="1" si="33">IF(M59&gt;0,N59*100/M59,0)</f>
        <v>98.896065004592515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4127800</v>
      </c>
      <c r="M61" s="109">
        <f t="shared" ca="1" si="37"/>
        <v>4256930</v>
      </c>
      <c r="N61" s="109">
        <f t="shared" ca="1" si="37"/>
        <v>4209936.26</v>
      </c>
      <c r="O61" s="109">
        <f t="shared" ca="1" si="32"/>
        <v>101.98983138717961</v>
      </c>
      <c r="P61" s="109">
        <f t="shared" ca="1" si="33"/>
        <v>98.896065004592515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927800</v>
      </c>
      <c r="M62" s="47">
        <f t="shared" ca="1" si="39"/>
        <v>948930</v>
      </c>
      <c r="N62" s="47">
        <f t="shared" ca="1" si="39"/>
        <v>901936.26</v>
      </c>
      <c r="O62" s="47">
        <f t="shared" ca="1" si="32"/>
        <v>97.212358266867867</v>
      </c>
      <c r="P62" s="47">
        <f t="shared" ca="1" si="33"/>
        <v>95.047712686921059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IFERROR(__xludf.DUMMYFUNCTION("IMPORTRANGE(""https://docs.google.com/spreadsheets/d/1-uDff_7J0KD5mKrp0Vvzr7lt3OU09vwQwhkpOPPYv2Y/edit?usp=sharing"",""งบพรบ!AH81"")"),948930)</f>
        <v>948930</v>
      </c>
      <c r="N64" s="47">
        <f ca="1">IFERROR(__xludf.DUMMYFUNCTION("IMPORTRANGE(""https://docs.google.com/spreadsheets/d/1-uDff_7J0KD5mKrp0Vvzr7lt3OU09vwQwhkpOPPYv2Y/edit?usp=sharing"",""งบพรบ!AJ81"")"),901936.26)</f>
        <v>901936.26</v>
      </c>
      <c r="O64" s="47">
        <f t="shared" ca="1" si="32"/>
        <v>97.212358266867867</v>
      </c>
      <c r="P64" s="47">
        <f t="shared" ca="1" si="33"/>
        <v>95.047712686921059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3200000</v>
      </c>
      <c r="M65" s="47">
        <f t="shared" ca="1" si="41"/>
        <v>3308000</v>
      </c>
      <c r="N65" s="47">
        <f t="shared" ca="1" si="41"/>
        <v>3308000</v>
      </c>
      <c r="O65" s="47">
        <f t="shared" ca="1" si="32"/>
        <v>103.375</v>
      </c>
      <c r="P65" s="47">
        <f t="shared" ca="1" si="33"/>
        <v>100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IFERROR(__xludf.DUMMYFUNCTION("IMPORTRANGE(""https://docs.google.com/spreadsheets/d/1-uDff_7J0KD5mKrp0Vvzr7lt3OU09vwQwhkpOPPYv2Y/edit?usp=sharing"",""งบพรบ!AI81"")"),3308000)</f>
        <v>3308000</v>
      </c>
      <c r="N67" s="111">
        <f ca="1">IFERROR(__xludf.DUMMYFUNCTION("IMPORTRANGE(""https://docs.google.com/spreadsheets/d/1-uDff_7J0KD5mKrp0Vvzr7lt3OU09vwQwhkpOPPYv2Y/edit?usp=sharing"",""งบพรบ!AK81"")"),3308000)</f>
        <v>3308000</v>
      </c>
      <c r="O67" s="111">
        <f t="shared" ca="1" si="32"/>
        <v>103.375</v>
      </c>
      <c r="P67" s="111">
        <f t="shared" ca="1" si="33"/>
        <v>100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0</v>
      </c>
      <c r="J70" s="128">
        <f t="shared" si="43"/>
        <v>0</v>
      </c>
      <c r="K70" s="35">
        <f t="shared" ref="K70:K71" ca="1" si="44">IF(I70&gt;0,J70*100/I70,0)</f>
        <v>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0</v>
      </c>
      <c r="J71" s="128">
        <f t="shared" si="43"/>
        <v>0</v>
      </c>
      <c r="K71" s="35">
        <f t="shared" ca="1" si="44"/>
        <v>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9"/>
      <c r="B72" s="200"/>
      <c r="C72" s="19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0</v>
      </c>
      <c r="M72" s="133">
        <f t="shared" ca="1" si="45"/>
        <v>0</v>
      </c>
      <c r="N72" s="133">
        <f t="shared" ca="1" si="45"/>
        <v>0</v>
      </c>
      <c r="O72" s="133">
        <f t="shared" ref="O72:O80" ca="1" si="46">IF(L72&gt;0,N72*100/L72,0)</f>
        <v>0</v>
      </c>
      <c r="P72" s="133">
        <f t="shared" ref="P72:P80" ca="1" si="47">IF(M72&gt;0,N72*100/M72,0)</f>
        <v>0</v>
      </c>
      <c r="Q72" s="133">
        <f t="shared" ref="Q72:S72" ca="1" si="48">Q73+Q74</f>
        <v>0</v>
      </c>
      <c r="R72" s="133">
        <f t="shared" ca="1" si="48"/>
        <v>0</v>
      </c>
      <c r="S72" s="133">
        <f t="shared" ca="1" si="48"/>
        <v>0</v>
      </c>
      <c r="T72" s="133">
        <f t="shared" ref="T72:T80" ca="1" si="49">IF(Q72&gt;0,S72*100/Q72,0)</f>
        <v>0</v>
      </c>
      <c r="U72" s="133">
        <f t="shared" ref="U72:U80" ca="1" si="50">IF(R72&gt;0,S72*100/R72,0)</f>
        <v>0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0</v>
      </c>
      <c r="M74" s="47">
        <f t="shared" ca="1" si="51"/>
        <v>0</v>
      </c>
      <c r="N74" s="47">
        <f t="shared" ca="1" si="51"/>
        <v>0</v>
      </c>
      <c r="O74" s="47">
        <f t="shared" ca="1" si="46"/>
        <v>0</v>
      </c>
      <c r="P74" s="47">
        <f t="shared" ca="1" si="47"/>
        <v>0</v>
      </c>
      <c r="Q74" s="47">
        <f t="shared" ca="1" si="52"/>
        <v>0</v>
      </c>
      <c r="R74" s="47">
        <f t="shared" ca="1" si="52"/>
        <v>0</v>
      </c>
      <c r="S74" s="47">
        <f t="shared" ca="1" si="52"/>
        <v>0</v>
      </c>
      <c r="T74" s="47">
        <f t="shared" ca="1" si="49"/>
        <v>0</v>
      </c>
      <c r="U74" s="47">
        <f t="shared" ca="1" si="50"/>
        <v>0</v>
      </c>
    </row>
    <row r="75" spans="1:21" ht="18.75" hidden="1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0</v>
      </c>
      <c r="M75" s="47">
        <f t="shared" ca="1" si="53"/>
        <v>0</v>
      </c>
      <c r="N75" s="47">
        <f t="shared" ca="1" si="53"/>
        <v>0</v>
      </c>
      <c r="O75" s="47">
        <f t="shared" ca="1" si="46"/>
        <v>0</v>
      </c>
      <c r="P75" s="47">
        <f t="shared" ca="1" si="47"/>
        <v>0</v>
      </c>
      <c r="Q75" s="47">
        <f t="shared" ref="Q75:S75" ca="1" si="54">Q76+Q77</f>
        <v>0</v>
      </c>
      <c r="R75" s="47">
        <f t="shared" ca="1" si="54"/>
        <v>0</v>
      </c>
      <c r="S75" s="47">
        <f t="shared" ca="1" si="54"/>
        <v>0</v>
      </c>
      <c r="T75" s="47">
        <f t="shared" ca="1" si="49"/>
        <v>0</v>
      </c>
      <c r="U75" s="47">
        <f t="shared" ca="1" si="50"/>
        <v>0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t="shared" ca="1" si="46"/>
        <v>0</v>
      </c>
      <c r="P77" s="47">
        <f t="shared" ca="1" si="47"/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t="shared" ca="1" si="49"/>
        <v>0</v>
      </c>
      <c r="U77" s="47">
        <f t="shared" ca="1" si="50"/>
        <v>0</v>
      </c>
    </row>
    <row r="78" spans="1:21" ht="18.75" hidden="1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t="shared" ca="1" si="49"/>
        <v>0</v>
      </c>
      <c r="U80" s="47">
        <f t="shared" ca="1" si="50"/>
        <v>0</v>
      </c>
    </row>
    <row r="81" spans="1:21" ht="19.5" hidden="1" x14ac:dyDescent="0.3">
      <c r="A81" s="139"/>
      <c r="B81" s="140"/>
      <c r="C81" s="19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hidden="1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0</v>
      </c>
      <c r="J82" s="371">
        <f t="shared" si="57"/>
        <v>0</v>
      </c>
      <c r="K82" s="149">
        <f t="shared" ref="K82:K90" ca="1" si="58">IF(I82&gt;0,J82*100/I82,0)</f>
        <v>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hidden="1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0</v>
      </c>
      <c r="J83" s="371">
        <f t="shared" si="57"/>
        <v>0</v>
      </c>
      <c r="K83" s="149">
        <f t="shared" ca="1" si="58"/>
        <v>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hidden="1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IFERROR(__xludf.DUMMYFUNCTION("IMPORTRANGE(""https://docs.google.com/spreadsheets/d/1eHaY18a8A9IcSdp1K8H6x8fbOy06t2VsZHhMHf-1x7Y/edit?usp=sharing"",""แผน!H81"")"),0)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hidden="1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IFERROR(__xludf.DUMMYFUNCTION("IMPORTRANGE(""https://docs.google.com/spreadsheets/d/1eHaY18a8A9IcSdp1K8H6x8fbOy06t2VsZHhMHf-1x7Y/edit?usp=sharing"",""แผน!I81"")"),0)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hidden="1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IFERROR(__xludf.DUMMYFUNCTION("IMPORTRANGE(""https://docs.google.com/spreadsheets/d/1eHaY18a8A9IcSdp1K8H6x8fbOy06t2VsZHhMHf-1x7Y/edit?usp=sharing"",""แผน!F81"")"),0)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hidden="1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IFERROR(__xludf.DUMMYFUNCTION("IMPORTRANGE(""https://docs.google.com/spreadsheets/d/1eHaY18a8A9IcSdp1K8H6x8fbOy06t2VsZHhMHf-1x7Y/edit?usp=sharing"",""แผน!G81"")"),0)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hidden="1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IFERROR(__xludf.DUMMYFUNCTION("IMPORTRANGE(""https://docs.google.com/spreadsheets/d/1eHaY18a8A9IcSdp1K8H6x8fbOy06t2VsZHhMHf-1x7Y/edit?usp=sharing"",""แผน!D81"")"),0)</f>
        <v>0</v>
      </c>
      <c r="J88" s="169">
        <v>0</v>
      </c>
      <c r="K88" s="154">
        <f t="shared" ca="1" si="58"/>
        <v>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hidden="1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IFERROR(__xludf.DUMMYFUNCTION("IMPORTRANGE(""https://docs.google.com/spreadsheets/d/1eHaY18a8A9IcSdp1K8H6x8fbOy06t2VsZHhMHf-1x7Y/edit?usp=sharing"",""แผน!E81"")"),0)</f>
        <v>0</v>
      </c>
      <c r="J89" s="169">
        <v>0</v>
      </c>
      <c r="K89" s="154">
        <f t="shared" ca="1" si="58"/>
        <v>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hidden="1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IFERROR(__xludf.DUMMYFUNCTION("IMPORTRANGE(""https://docs.google.com/spreadsheets/d/1eHaY18a8A9IcSdp1K8H6x8fbOy06t2VsZHhMHf-1x7Y/edit?usp=sharing"",""แผน!J81"")"),0)</f>
        <v>0</v>
      </c>
      <c r="J90" s="169">
        <v>0</v>
      </c>
      <c r="K90" s="154">
        <f t="shared" ca="1" si="58"/>
        <v>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30</v>
      </c>
      <c r="J92" s="128">
        <f t="shared" si="59"/>
        <v>30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10</v>
      </c>
      <c r="J93" s="128">
        <f t="shared" si="59"/>
        <v>10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6000</v>
      </c>
      <c r="M94" s="133">
        <f t="shared" ca="1" si="61"/>
        <v>6000</v>
      </c>
      <c r="N94" s="133">
        <f t="shared" ca="1" si="61"/>
        <v>6000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84420</v>
      </c>
      <c r="R94" s="133">
        <f t="shared" ca="1" si="64"/>
        <v>50590</v>
      </c>
      <c r="S94" s="133">
        <f t="shared" ca="1" si="64"/>
        <v>50590</v>
      </c>
      <c r="T94" s="133">
        <f t="shared" ref="T94:T102" ca="1" si="65">IF(Q94&gt;0,S94*100/Q94,0)</f>
        <v>59.926557687751718</v>
      </c>
      <c r="U94" s="133">
        <f t="shared" ref="U94:U102" ca="1" si="66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6000</v>
      </c>
      <c r="M96" s="47">
        <f t="shared" ca="1" si="67"/>
        <v>6000</v>
      </c>
      <c r="N96" s="47">
        <f t="shared" ca="1" si="67"/>
        <v>6000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84420</v>
      </c>
      <c r="R96" s="47">
        <f t="shared" ca="1" si="68"/>
        <v>50590</v>
      </c>
      <c r="S96" s="47">
        <f t="shared" ca="1" si="68"/>
        <v>50590</v>
      </c>
      <c r="T96" s="47">
        <f t="shared" ca="1" si="65"/>
        <v>59.926557687751718</v>
      </c>
      <c r="U96" s="47">
        <f t="shared" ca="1" si="66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6000</v>
      </c>
      <c r="M97" s="47">
        <f t="shared" ca="1" si="69"/>
        <v>6000</v>
      </c>
      <c r="N97" s="47">
        <f t="shared" ca="1" si="69"/>
        <v>6000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84420</v>
      </c>
      <c r="R97" s="47">
        <f t="shared" ca="1" si="70"/>
        <v>50590</v>
      </c>
      <c r="S97" s="47">
        <f t="shared" ca="1" si="70"/>
        <v>50590</v>
      </c>
      <c r="T97" s="47">
        <f t="shared" ca="1" si="65"/>
        <v>59.926557687751718</v>
      </c>
      <c r="U97" s="47">
        <f t="shared" ca="1" si="66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IFERROR(__xludf.DUMMYFUNCTION("IMPORTRANGE(""https://docs.google.com/spreadsheets/d/1-uDff_7J0KD5mKrp0Vvzr7lt3OU09vwQwhkpOPPYv2Y/edit?usp=sharing"",""งบพรบ!AW81"")"),6000)</f>
        <v>6000</v>
      </c>
      <c r="M99" s="47">
        <f ca="1">IFERROR(__xludf.DUMMYFUNCTION("IMPORTRANGE(""https://docs.google.com/spreadsheets/d/1-uDff_7J0KD5mKrp0Vvzr7lt3OU09vwQwhkpOPPYv2Y/edit?usp=sharing"",""งบพรบ!BB81"")"),6000)</f>
        <v>6000</v>
      </c>
      <c r="N99" s="47">
        <f ca="1">IFERROR(__xludf.DUMMYFUNCTION("IMPORTRANGE(""https://docs.google.com/spreadsheets/d/1-uDff_7J0KD5mKrp0Vvzr7lt3OU09vwQwhkpOPPYv2Y/edit?usp=sharing"",""งบพรบ!BD81"")"),6000)</f>
        <v>6000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IFERROR(__xludf.DUMMYFUNCTION("IMPORTRANGE(""https://docs.google.com/spreadsheets/d/1ItG2mGa2ceCfYo0BwxsXqNm01IGEUdYcSSLTEv9YCik/edit?usp=sharing"",""เบิกจ่ายกองทุน!AK81"")"),50590)</f>
        <v>50590</v>
      </c>
      <c r="S99" s="47">
        <f ca="1">IFERROR(__xludf.DUMMYFUNCTION("IMPORTRANGE(""https://docs.google.com/spreadsheets/d/1ItG2mGa2ceCfYo0BwxsXqNm01IGEUdYcSSLTEv9YCik/edit?usp=sharing"",""เบิกจ่ายกองทุน!AL81"")"),50590)</f>
        <v>50590</v>
      </c>
      <c r="T99" s="47">
        <f t="shared" ca="1" si="65"/>
        <v>59.926557687751718</v>
      </c>
      <c r="U99" s="47">
        <f t="shared" ca="1" si="66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IFERROR(__xludf.DUMMYFUNCTION("IMPORTRANGE(""https://docs.google.com/spreadsheets/d/1eHaY18a8A9IcSdp1K8H6x8fbOy06t2VsZHhMHf-1x7Y/edit?usp=sharing"",""แผน!N81"")"),30)</f>
        <v>30</v>
      </c>
      <c r="J108" s="169">
        <v>30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IFERROR(__xludf.DUMMYFUNCTION("IMPORTRANGE(""https://docs.google.com/spreadsheets/d/1eHaY18a8A9IcSdp1K8H6x8fbOy06t2VsZHhMHf-1x7Y/edit?usp=sharing"",""แผน!O81"")"),10)</f>
        <v>10</v>
      </c>
      <c r="J109" s="169">
        <v>10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IFERROR(__xludf.DUMMYFUNCTION("IMPORTRANGE(""https://docs.google.com/spreadsheets/d/1eHaY18a8A9IcSdp1K8H6x8fbOy06t2VsZHhMHf-1x7Y/edit?usp=sharing"",""แผน!N81"")"),30)</f>
        <v>30</v>
      </c>
      <c r="J113" s="178">
        <v>30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IFERROR(__xludf.DUMMYFUNCTION("IMPORTRANGE(""https://docs.google.com/spreadsheets/d/1eHaY18a8A9IcSdp1K8H6x8fbOy06t2VsZHhMHf-1x7Y/edit?usp=sharing"",""แผน!O81"")"),10)</f>
        <v>10</v>
      </c>
      <c r="J114" s="169">
        <v>10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15</v>
      </c>
      <c r="J116" s="128">
        <f t="shared" si="75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191460</v>
      </c>
      <c r="R117" s="133">
        <f t="shared" ca="1" si="79"/>
        <v>160441</v>
      </c>
      <c r="S117" s="133">
        <f t="shared" ca="1" si="79"/>
        <v>147441</v>
      </c>
      <c r="T117" s="133">
        <f t="shared" ref="T117:T125" ca="1" si="80">IF(Q117&gt;0,S117*100/Q117,0)</f>
        <v>77.008774678784079</v>
      </c>
      <c r="U117" s="133">
        <f t="shared" ref="U117:U125" ca="1" si="81">IF(R117&gt;0,S117*100/R117,0)</f>
        <v>91.897332975984938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191460</v>
      </c>
      <c r="R119" s="47">
        <f t="shared" ca="1" si="83"/>
        <v>160441</v>
      </c>
      <c r="S119" s="47">
        <f t="shared" ca="1" si="83"/>
        <v>147441</v>
      </c>
      <c r="T119" s="47">
        <f t="shared" ca="1" si="80"/>
        <v>77.008774678784079</v>
      </c>
      <c r="U119" s="47">
        <f t="shared" ca="1" si="81"/>
        <v>91.897332975984938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191460</v>
      </c>
      <c r="R120" s="47">
        <f t="shared" ca="1" si="85"/>
        <v>160441</v>
      </c>
      <c r="S120" s="47">
        <f t="shared" ca="1" si="85"/>
        <v>147441</v>
      </c>
      <c r="T120" s="47">
        <f t="shared" ca="1" si="80"/>
        <v>77.008774678784079</v>
      </c>
      <c r="U120" s="47">
        <f t="shared" ca="1" si="81"/>
        <v>91.897332975984938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IFERROR(__xludf.DUMMYFUNCTION("IMPORTRANGE(""https://docs.google.com/spreadsheets/d/1ItG2mGa2ceCfYo0BwxsXqNm01IGEUdYcSSLTEv9YCik/edit?usp=sharing"",""เบิกจ่ายกองทุน!V81"")"),160441)</f>
        <v>160441</v>
      </c>
      <c r="S122" s="47">
        <f ca="1">IFERROR(__xludf.DUMMYFUNCTION("IMPORTRANGE(""https://docs.google.com/spreadsheets/d/1ItG2mGa2ceCfYo0BwxsXqNm01IGEUdYcSSLTEv9YCik/edit?usp=sharing"",""เบิกจ่ายกองทุน!W81"")"),147441)</f>
        <v>147441</v>
      </c>
      <c r="T122" s="47">
        <f t="shared" ca="1" si="80"/>
        <v>77.008774678784079</v>
      </c>
      <c r="U122" s="47">
        <f t="shared" ca="1" si="81"/>
        <v>91.897332975984938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0</v>
      </c>
      <c r="R123" s="47">
        <f t="shared" ca="1" si="87"/>
        <v>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IFERROR(__xludf.DUMMYFUNCTION("IMPORTRANGE(""https://docs.google.com/spreadsheets/d/1eHaY18a8A9IcSdp1K8H6x8fbOy06t2VsZHhMHf-1x7Y/edit?usp=sharing"",""แผน!FF81"")"),15)</f>
        <v>15</v>
      </c>
      <c r="J127" s="169">
        <v>15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IFERROR(__xludf.DUMMYFUNCTION("IMPORTRANGE(""https://docs.google.com/spreadsheets/d/1eHaY18a8A9IcSdp1K8H6x8fbOy06t2VsZHhMHf-1x7Y/edit?usp=sharing"",""แผน!FG81"")"),1)</f>
        <v>1</v>
      </c>
      <c r="J128" s="169">
        <v>1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IFERROR(__xludf.DUMMYFUNCTION("IMPORTRANGE(""https://docs.google.com/spreadsheets/d/1eHaY18a8A9IcSdp1K8H6x8fbOy06t2VsZHhMHf-1x7Y/edit?usp=sharing"",""แผน!FH81"")"),15)</f>
        <v>15</v>
      </c>
      <c r="J129" s="169">
        <v>15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IFERROR(__xludf.DUMMYFUNCTION("IMPORTRANGE(""https://docs.google.com/spreadsheets/d/1eHaY18a8A9IcSdp1K8H6x8fbOy06t2VsZHhMHf-1x7Y/edit?usp=sharing"",""แผน!FI81"")"),1)</f>
        <v>1</v>
      </c>
      <c r="J130" s="169">
        <v>1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0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0</v>
      </c>
      <c r="J137" s="128">
        <f t="shared" si="91"/>
        <v>0</v>
      </c>
      <c r="K137" s="35">
        <f t="shared" ca="1" si="90"/>
        <v>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0</v>
      </c>
      <c r="J138" s="128">
        <f t="shared" si="91"/>
        <v>0</v>
      </c>
      <c r="K138" s="35">
        <f t="shared" ca="1" si="90"/>
        <v>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9"/>
      <c r="B139" s="200"/>
      <c r="C139" s="19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0</v>
      </c>
      <c r="M139" s="133">
        <f t="shared" ca="1" si="92"/>
        <v>0</v>
      </c>
      <c r="N139" s="133">
        <f t="shared" ca="1" si="92"/>
        <v>0</v>
      </c>
      <c r="O139" s="133">
        <f t="shared" ref="O139:O147" ca="1" si="93">IF(L139&gt;0,N139*100/L139,0)</f>
        <v>0</v>
      </c>
      <c r="P139" s="133">
        <f t="shared" ref="P139:P147" ca="1" si="94">IF(M139&gt;0,N139*100/M139,0)</f>
        <v>0</v>
      </c>
      <c r="Q139" s="133">
        <f t="shared" ref="Q139:S139" ca="1" si="95">Q140+Q141</f>
        <v>0</v>
      </c>
      <c r="R139" s="133">
        <f t="shared" ca="1" si="95"/>
        <v>0</v>
      </c>
      <c r="S139" s="133">
        <f t="shared" ca="1" si="95"/>
        <v>0</v>
      </c>
      <c r="T139" s="133">
        <f t="shared" ref="T139:T147" ca="1" si="96">IF(Q139&gt;0,S139*100/Q139,0)</f>
        <v>0</v>
      </c>
      <c r="U139" s="133">
        <f t="shared" ref="U139:U147" ca="1" si="97">IF(R139&gt;0,S139*100/R139,0)</f>
        <v>0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0</v>
      </c>
      <c r="M141" s="47">
        <f t="shared" ca="1" si="98"/>
        <v>0</v>
      </c>
      <c r="N141" s="47">
        <f t="shared" ca="1" si="98"/>
        <v>0</v>
      </c>
      <c r="O141" s="47">
        <f t="shared" ca="1" si="93"/>
        <v>0</v>
      </c>
      <c r="P141" s="47">
        <f t="shared" ca="1" si="94"/>
        <v>0</v>
      </c>
      <c r="Q141" s="47">
        <f t="shared" ca="1" si="99"/>
        <v>0</v>
      </c>
      <c r="R141" s="47">
        <f t="shared" ca="1" si="99"/>
        <v>0</v>
      </c>
      <c r="S141" s="47">
        <f t="shared" ca="1" si="99"/>
        <v>0</v>
      </c>
      <c r="T141" s="47">
        <f t="shared" ca="1" si="96"/>
        <v>0</v>
      </c>
      <c r="U141" s="47">
        <f t="shared" ca="1" si="97"/>
        <v>0</v>
      </c>
    </row>
    <row r="142" spans="1:21" ht="18.75" hidden="1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0</v>
      </c>
      <c r="M142" s="47">
        <f t="shared" ca="1" si="100"/>
        <v>0</v>
      </c>
      <c r="N142" s="47">
        <f t="shared" ca="1" si="100"/>
        <v>0</v>
      </c>
      <c r="O142" s="47">
        <f t="shared" ca="1" si="93"/>
        <v>0</v>
      </c>
      <c r="P142" s="47">
        <f t="shared" ca="1" si="94"/>
        <v>0</v>
      </c>
      <c r="Q142" s="47">
        <f t="shared" ref="Q142:S142" ca="1" si="101">Q143+Q144</f>
        <v>0</v>
      </c>
      <c r="R142" s="47">
        <f t="shared" ca="1" si="101"/>
        <v>0</v>
      </c>
      <c r="S142" s="47">
        <f t="shared" ca="1" si="101"/>
        <v>0</v>
      </c>
      <c r="T142" s="47">
        <f t="shared" ca="1" si="96"/>
        <v>0</v>
      </c>
      <c r="U142" s="47">
        <f t="shared" ca="1" si="97"/>
        <v>0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t="shared" ca="1" si="93"/>
        <v>0</v>
      </c>
      <c r="P144" s="47">
        <f t="shared" ca="1" si="94"/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t="shared" ca="1" si="96"/>
        <v>0</v>
      </c>
      <c r="U144" s="47">
        <f t="shared" ca="1" si="97"/>
        <v>0</v>
      </c>
    </row>
    <row r="145" spans="1:21" ht="18.75" hidden="1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0</v>
      </c>
      <c r="R145" s="47">
        <f t="shared" ca="1" si="103"/>
        <v>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t="shared" ca="1" si="96"/>
        <v>0</v>
      </c>
      <c r="U147" s="47">
        <f t="shared" ca="1" si="97"/>
        <v>0</v>
      </c>
    </row>
    <row r="148" spans="1:21" ht="19.5" hidden="1" x14ac:dyDescent="0.3">
      <c r="A148" s="139"/>
      <c r="B148" s="140"/>
      <c r="C148" s="19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IFERROR(__xludf.DUMMYFUNCTION("IMPORTRANGE(""https://docs.google.com/spreadsheets/d/1eHaY18a8A9IcSdp1K8H6x8fbOy06t2VsZHhMHf-1x7Y/edit?usp=sharing"",""แผน!U81"")"),0)</f>
        <v>0</v>
      </c>
      <c r="J150" s="169">
        <v>0</v>
      </c>
      <c r="K150" s="47">
        <f t="shared" ref="K150:K154" ca="1" si="104">IF(I150&gt;0,J150*100/I150,0)</f>
        <v>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IFERROR(__xludf.DUMMYFUNCTION("IMPORTRANGE(""https://docs.google.com/spreadsheets/d/1eHaY18a8A9IcSdp1K8H6x8fbOy06t2VsZHhMHf-1x7Y/edit?usp=sharing"",""แผน!V81"")"),0)</f>
        <v>0</v>
      </c>
      <c r="J151" s="169">
        <v>0</v>
      </c>
      <c r="K151" s="47">
        <f t="shared" ca="1" si="104"/>
        <v>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IFERROR(__xludf.DUMMYFUNCTION("IMPORTRANGE(""https://docs.google.com/spreadsheets/d/1eHaY18a8A9IcSdp1K8H6x8fbOy06t2VsZHhMHf-1x7Y/edit?usp=sharing"",""แผน!W81"")"),0)</f>
        <v>0</v>
      </c>
      <c r="J152" s="169">
        <v>0</v>
      </c>
      <c r="K152" s="47">
        <f t="shared" ca="1" si="104"/>
        <v>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IFERROR(__xludf.DUMMYFUNCTION("IMPORTRANGE(""https://docs.google.com/spreadsheets/d/1eHaY18a8A9IcSdp1K8H6x8fbOy06t2VsZHhMHf-1x7Y/edit?usp=sharing"",""แผน!X81"")"),0)</f>
        <v>0</v>
      </c>
      <c r="J153" s="169">
        <v>0</v>
      </c>
      <c r="K153" s="47">
        <f t="shared" ca="1" si="104"/>
        <v>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IFERROR(__xludf.DUMMYFUNCTION("IMPORTRANGE(""https://docs.google.com/spreadsheets/d/1eHaY18a8A9IcSdp1K8H6x8fbOy06t2VsZHhMHf-1x7Y/edit?usp=sharing"",""แผน!Y81"")"),0)</f>
        <v>0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I169</f>
        <v>0</v>
      </c>
      <c r="J156" s="128">
        <f t="shared" si="105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9"/>
      <c r="B157" s="200"/>
      <c r="C157" s="40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0</v>
      </c>
      <c r="M157" s="133">
        <f t="shared" ca="1" si="106"/>
        <v>0</v>
      </c>
      <c r="N157" s="133">
        <f t="shared" ca="1" si="106"/>
        <v>0</v>
      </c>
      <c r="O157" s="133">
        <f t="shared" ref="O157:O165" ca="1" si="107">IF(L157&gt;0,N157*100/L157,0)</f>
        <v>0</v>
      </c>
      <c r="P157" s="133">
        <f t="shared" ref="P157:P165" ca="1" si="108">IF(M157&gt;0,N157*100/M157,0)</f>
        <v>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0</v>
      </c>
      <c r="M159" s="47">
        <f t="shared" ca="1" si="112"/>
        <v>0</v>
      </c>
      <c r="N159" s="47">
        <f t="shared" ca="1" si="112"/>
        <v>0</v>
      </c>
      <c r="O159" s="47">
        <f t="shared" ca="1" si="107"/>
        <v>0</v>
      </c>
      <c r="P159" s="47">
        <f t="shared" ca="1" si="108"/>
        <v>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0</v>
      </c>
      <c r="M160" s="47">
        <f t="shared" ca="1" si="114"/>
        <v>0</v>
      </c>
      <c r="N160" s="47">
        <f t="shared" ca="1" si="114"/>
        <v>0</v>
      </c>
      <c r="O160" s="47">
        <f t="shared" ca="1" si="107"/>
        <v>0</v>
      </c>
      <c r="P160" s="47">
        <f t="shared" ca="1" si="108"/>
        <v>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IFERROR(__xludf.DUMMYFUNCTION("IMPORTRANGE(""https://docs.google.com/spreadsheets/d/1-uDff_7J0KD5mKrp0Vvzr7lt3OU09vwQwhkpOPPYv2Y/edit?usp=sharing"",""งบพรบ!CF81"")"),0)</f>
        <v>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t="shared" ca="1" si="107"/>
        <v>0</v>
      </c>
      <c r="P162" s="47">
        <f t="shared" ca="1" si="108"/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IFERROR(__xludf.DUMMYFUNCTION("IMPORTRANGE(""https://docs.google.com/spreadsheets/d/1eHaY18a8A9IcSdp1K8H6x8fbOy06t2VsZHhMHf-1x7Y/edit?usp=sharing"",""แผน!Z81"")"),0)</f>
        <v>0</v>
      </c>
      <c r="J167" s="169">
        <v>0</v>
      </c>
      <c r="K167" s="47">
        <f t="shared" ref="K167:K169" ca="1" si="118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IFERROR(__xludf.DUMMYFUNCTION("IMPORTRANGE(""https://docs.google.com/spreadsheets/d/1eHaY18a8A9IcSdp1K8H6x8fbOy06t2VsZHhMHf-1x7Y/edit?usp=sharing"",""แผน!Z81"")"),0)</f>
        <v>0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IFERROR(__xludf.DUMMYFUNCTION("IMPORTRANGE(""https://docs.google.com/spreadsheets/d/1eHaY18a8A9IcSdp1K8H6x8fbOy06t2VsZHhMHf-1x7Y/edit?usp=sharing"",""แผน!Z81"")"),0)</f>
        <v>0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7</v>
      </c>
      <c r="J172" s="222">
        <f t="shared" si="119"/>
        <v>7</v>
      </c>
      <c r="K172" s="223">
        <f ca="1">IF(I172&gt;0,J172*100/I172,0)</f>
        <v>100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x14ac:dyDescent="0.3">
      <c r="A173" s="129"/>
      <c r="B173" s="200"/>
      <c r="C173" s="40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19590</v>
      </c>
      <c r="M173" s="133">
        <f t="shared" ca="1" si="120"/>
        <v>36580</v>
      </c>
      <c r="N173" s="133">
        <f t="shared" ca="1" si="120"/>
        <v>36580</v>
      </c>
      <c r="O173" s="133">
        <f t="shared" ref="O173:O181" ca="1" si="121">IF(L173&gt;0,N173*100/L173,0)</f>
        <v>186.72792240939253</v>
      </c>
      <c r="P173" s="133">
        <f t="shared" ref="P173:P181" ca="1" si="122">IF(M173&gt;0,N173*100/M173,0)</f>
        <v>100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19590</v>
      </c>
      <c r="M175" s="47">
        <f t="shared" ca="1" si="126"/>
        <v>36580</v>
      </c>
      <c r="N175" s="47">
        <f t="shared" ca="1" si="126"/>
        <v>36580</v>
      </c>
      <c r="O175" s="47">
        <f t="shared" ca="1" si="121"/>
        <v>186.72792240939253</v>
      </c>
      <c r="P175" s="47">
        <f t="shared" ca="1" si="122"/>
        <v>100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19590</v>
      </c>
      <c r="M176" s="47">
        <f t="shared" ca="1" si="128"/>
        <v>36580</v>
      </c>
      <c r="N176" s="47">
        <f t="shared" ca="1" si="128"/>
        <v>36580</v>
      </c>
      <c r="O176" s="47">
        <f t="shared" ca="1" si="121"/>
        <v>186.72792240939253</v>
      </c>
      <c r="P176" s="47">
        <f t="shared" ca="1" si="122"/>
        <v>100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IFERROR(__xludf.DUMMYFUNCTION("IMPORTRANGE(""https://docs.google.com/spreadsheets/d/1-uDff_7J0KD5mKrp0Vvzr7lt3OU09vwQwhkpOPPYv2Y/edit?usp=sharing"",""งบพรบ!CR81"")"),36580)</f>
        <v>36580</v>
      </c>
      <c r="O178" s="47">
        <f t="shared" ca="1" si="121"/>
        <v>186.72792240939253</v>
      </c>
      <c r="P178" s="47">
        <f t="shared" ca="1" si="122"/>
        <v>100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x14ac:dyDescent="0.3">
      <c r="A182" s="139"/>
      <c r="B182" s="140"/>
      <c r="C182" s="40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IFERROR(__xludf.DUMMYFUNCTION("IMPORTRANGE(""https://docs.google.com/spreadsheets/d/1eHaY18a8A9IcSdp1K8H6x8fbOy06t2VsZHhMHf-1x7Y/edit?usp=sharing"",""แผน!AA81"")"),7)</f>
        <v>7</v>
      </c>
      <c r="J183" s="169">
        <v>7</v>
      </c>
      <c r="K183" s="47">
        <f t="shared" ref="K183:K185" ca="1" si="132">IF(I183&gt;0,J183*100/I183,0)</f>
        <v>100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0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105500</v>
      </c>
      <c r="M186" s="133">
        <f t="shared" ca="1" si="134"/>
        <v>107500</v>
      </c>
      <c r="N186" s="133">
        <f t="shared" ca="1" si="134"/>
        <v>106800.5</v>
      </c>
      <c r="O186" s="133">
        <f t="shared" ref="O186:O194" ca="1" si="135">IF(L186&gt;0,N186*100/L186,0)</f>
        <v>101.23270142180095</v>
      </c>
      <c r="P186" s="133">
        <f t="shared" ref="P186:P194" ca="1" si="136">IF(M186&gt;0,N186*100/M186,0)</f>
        <v>99.349302325581391</v>
      </c>
      <c r="Q186" s="133">
        <f t="shared" ref="Q186:S186" ca="1" si="137">Q187+Q188</f>
        <v>28000</v>
      </c>
      <c r="R186" s="133">
        <f t="shared" ca="1" si="137"/>
        <v>28000</v>
      </c>
      <c r="S186" s="133">
        <f t="shared" ca="1" si="137"/>
        <v>28000</v>
      </c>
      <c r="T186" s="133">
        <f t="shared" ref="T186:T194" ca="1" si="138">IF(Q186&gt;0,S186*100/Q186,0)</f>
        <v>100</v>
      </c>
      <c r="U186" s="133">
        <f t="shared" ref="U186:U194" ca="1" si="139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105500</v>
      </c>
      <c r="M188" s="47">
        <f t="shared" ca="1" si="140"/>
        <v>107500</v>
      </c>
      <c r="N188" s="47">
        <f t="shared" ca="1" si="140"/>
        <v>106800.5</v>
      </c>
      <c r="O188" s="47">
        <f t="shared" ca="1" si="135"/>
        <v>101.23270142180095</v>
      </c>
      <c r="P188" s="47">
        <f t="shared" ca="1" si="136"/>
        <v>99.349302325581391</v>
      </c>
      <c r="Q188" s="47">
        <f t="shared" ca="1" si="141"/>
        <v>28000</v>
      </c>
      <c r="R188" s="47">
        <f t="shared" ca="1" si="141"/>
        <v>28000</v>
      </c>
      <c r="S188" s="47">
        <f t="shared" ca="1" si="141"/>
        <v>28000</v>
      </c>
      <c r="T188" s="47">
        <f t="shared" ca="1" si="138"/>
        <v>100</v>
      </c>
      <c r="U188" s="47">
        <f t="shared" ca="1" si="139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105500</v>
      </c>
      <c r="M189" s="47">
        <f t="shared" ca="1" si="142"/>
        <v>107500</v>
      </c>
      <c r="N189" s="47">
        <f t="shared" ca="1" si="142"/>
        <v>106800.5</v>
      </c>
      <c r="O189" s="47">
        <f t="shared" ca="1" si="135"/>
        <v>101.23270142180095</v>
      </c>
      <c r="P189" s="47">
        <f t="shared" ca="1" si="136"/>
        <v>99.349302325581391</v>
      </c>
      <c r="Q189" s="47">
        <f t="shared" ref="Q189:S189" ca="1" si="143">Q190+Q191</f>
        <v>28000</v>
      </c>
      <c r="R189" s="47">
        <f t="shared" ca="1" si="143"/>
        <v>28000</v>
      </c>
      <c r="S189" s="47">
        <f t="shared" ca="1" si="143"/>
        <v>28000</v>
      </c>
      <c r="T189" s="47">
        <f t="shared" ca="1" si="138"/>
        <v>100</v>
      </c>
      <c r="U189" s="47">
        <f t="shared" ca="1" si="139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IFERROR(__xludf.DUMMYFUNCTION("IMPORTRANGE(""https://docs.google.com/spreadsheets/d/1-uDff_7J0KD5mKrp0Vvzr7lt3OU09vwQwhkpOPPYv2Y/edit?usp=sharing"",""งบพรบ!CZ81"")"),107500)</f>
        <v>107500</v>
      </c>
      <c r="N191" s="47">
        <f ca="1">IFERROR(__xludf.DUMMYFUNCTION("IMPORTRANGE(""https://docs.google.com/spreadsheets/d/1-uDff_7J0KD5mKrp0Vvzr7lt3OU09vwQwhkpOPPYv2Y/edit?usp=sharing"",""งบพรบ!DB81"")"),106800.5)</f>
        <v>106800.5</v>
      </c>
      <c r="O191" s="47">
        <f t="shared" ca="1" si="135"/>
        <v>101.23270142180095</v>
      </c>
      <c r="P191" s="47">
        <f t="shared" ca="1" si="136"/>
        <v>99.349302325581391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t="shared" ca="1" si="138"/>
        <v>100</v>
      </c>
      <c r="U191" s="47">
        <f t="shared" ca="1" si="139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3</v>
      </c>
      <c r="K195" s="237">
        <f ca="1">IF(I195&gt;0,J195*100/I195,0)</f>
        <v>75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636">
        <v>2620</v>
      </c>
      <c r="O196" s="133">
        <f ca="1">IF(L196&gt;0,N196*100/L196,0)</f>
        <v>43.666666666666664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IFERROR(__xludf.DUMMYFUNCTION("IMPORTRANGE(""https://docs.google.com/spreadsheets/d/1eHaY18a8A9IcSdp1K8H6x8fbOy06t2VsZHhMHf-1x7Y/edit?usp=sharing"",""แผน!AE81"")"),4)</f>
        <v>4</v>
      </c>
      <c r="J198" s="169">
        <v>3</v>
      </c>
      <c r="K198" s="47">
        <f ca="1">IF(I198&gt;0,J198*100/I198,0)</f>
        <v>75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128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128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2</v>
      </c>
      <c r="J202" s="236">
        <f t="shared" si="147"/>
        <v>2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13000</v>
      </c>
      <c r="M203" s="46"/>
      <c r="N203" s="133">
        <f>N204+N205+N206+N207</f>
        <v>13000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28000</v>
      </c>
      <c r="R203" s="180"/>
      <c r="S203" s="638">
        <f>S204+S205+S206+S207</f>
        <v>28000</v>
      </c>
      <c r="T203" s="638">
        <f ca="1">IF(Q203&gt;0,S203*100/Q203,0)</f>
        <v>100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639">
        <v>2000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IFERROR(__xludf.DUMMYFUNCTION("IMPORTRANGE(""https://docs.google.com/spreadsheets/d/1eHaY18a8A9IcSdp1K8H6x8fbOy06t2VsZHhMHf-1x7Y/edit?usp=sharing"",""แผน!AH81"")"),0)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IFERROR(__xludf.DUMMYFUNCTION("IMPORTRANGE(""https://docs.google.com/spreadsheets/d/1eHaY18a8A9IcSdp1K8H6x8fbOy06t2VsZHhMHf-1x7Y/edit?usp=sharing"",""แผน!AI81"")"),0)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639">
        <v>28000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639">
        <v>11000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IFERROR(__xludf.DUMMYFUNCTION("IMPORTRANGE(""https://docs.google.com/spreadsheets/d/1eHaY18a8A9IcSdp1K8H6x8fbOy06t2VsZHhMHf-1x7Y/edit?usp=sharing"",""แผน!AK81"")"),2)</f>
        <v>2</v>
      </c>
      <c r="J209" s="169">
        <v>2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IFERROR(__xludf.DUMMYFUNCTION("IMPORTRANGE(""https://docs.google.com/spreadsheets/d/1eHaY18a8A9IcSdp1K8H6x8fbOy06t2VsZHhMHf-1x7Y/edit?usp=sharing"",""แผน!JX81"")"),2)</f>
        <v>2</v>
      </c>
      <c r="J211" s="169">
        <v>2</v>
      </c>
      <c r="K211" s="154">
        <f t="shared" ref="K211:K213" ca="1" si="148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IFERROR(__xludf.DUMMYFUNCTION("IMPORTRANGE(""https://docs.google.com/spreadsheets/d/1eHaY18a8A9IcSdp1K8H6x8fbOy06t2VsZHhMHf-1x7Y/edit?usp=sharing"",""แผน!JY81"")"),1)</f>
        <v>1</v>
      </c>
      <c r="J212" s="169">
        <v>1</v>
      </c>
      <c r="K212" s="154">
        <f t="shared" ca="1" si="148"/>
        <v>100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0</v>
      </c>
      <c r="J213" s="236">
        <f t="shared" si="149"/>
        <v>0</v>
      </c>
      <c r="K213" s="237">
        <f t="shared" ca="1" si="148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IFERROR(__xludf.DUMMYFUNCTION("IMPORTRANGE(""https://docs.google.com/spreadsheets/d/1eHaY18a8A9IcSdp1K8H6x8fbOy06t2VsZHhMHf-1x7Y/edit?usp=sharing"",""แผน!AM81"")"),0)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IFERROR(__xludf.DUMMYFUNCTION("IMPORTRANGE(""https://docs.google.com/spreadsheets/d/1eHaY18a8A9IcSdp1K8H6x8fbOy06t2VsZHhMHf-1x7Y/edit?usp=sharing"",""แผน!AN81"")"),0)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IFERROR(__xludf.DUMMYFUNCTION("IMPORTRANGE(""https://docs.google.com/spreadsheets/d/1eHaY18a8A9IcSdp1K8H6x8fbOy06t2VsZHhMHf-1x7Y/edit?usp=sharing"",""แผน!AO81"")"),0)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IFERROR(__xludf.DUMMYFUNCTION("IMPORTRANGE(""https://docs.google.com/spreadsheets/d/1eHaY18a8A9IcSdp1K8H6x8fbOy06t2VsZHhMHf-1x7Y/edit?usp=sharing"",""แผน!LY81"")"),0)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IFERROR(__xludf.DUMMYFUNCTION("IMPORTRANGE(""https://docs.google.com/spreadsheets/d/1eHaY18a8A9IcSdp1K8H6x8fbOy06t2VsZHhMHf-1x7Y/edit?usp=sharing"",""แผน!AP81"")"),0)</f>
        <v>0</v>
      </c>
      <c r="J219" s="169">
        <v>0</v>
      </c>
      <c r="K219" s="47">
        <f t="shared" ref="K219:K221" ca="1" si="150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IFERROR(__xludf.DUMMYFUNCTION("IMPORTRANGE(""https://docs.google.com/spreadsheets/d/1eHaY18a8A9IcSdp1K8H6x8fbOy06t2VsZHhMHf-1x7Y/edit?usp=sharing"",""แผน!AP81"")"),0)</f>
        <v>0</v>
      </c>
      <c r="J220" s="169">
        <v>0</v>
      </c>
      <c r="K220" s="47">
        <f t="shared" ca="1" si="150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20000</v>
      </c>
      <c r="J221" s="236">
        <f t="shared" si="151"/>
        <v>20000</v>
      </c>
      <c r="K221" s="237">
        <f t="shared" ca="1" si="150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3000</v>
      </c>
      <c r="O222" s="133">
        <f ca="1">IF(L222&gt;0,N222*100/L222,0)</f>
        <v>66.666666666666671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IFERROR(__xludf.DUMMYFUNCTION("IMPORTRANGE(""https://docs.google.com/spreadsheets/d/1eHaY18a8A9IcSdp1K8H6x8fbOy06t2VsZHhMHf-1x7Y/edit?usp=sharing"",""แผน!AR81"")"),2500)</f>
        <v>2500</v>
      </c>
      <c r="M223" s="46"/>
      <c r="N223" s="639">
        <v>1500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IFERROR(__xludf.DUMMYFUNCTION("IMPORTRANGE(""https://docs.google.com/spreadsheets/d/1eHaY18a8A9IcSdp1K8H6x8fbOy06t2VsZHhMHf-1x7Y/edit?usp=sharing"",""แผน!AS81"")"),2000)</f>
        <v>2000</v>
      </c>
      <c r="M224" s="46"/>
      <c r="N224" s="639">
        <v>1500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IFERROR(__xludf.DUMMYFUNCTION("IMPORTRANGE(""https://docs.google.com/spreadsheets/d/1eHaY18a8A9IcSdp1K8H6x8fbOy06t2VsZHhMHf-1x7Y/edit?usp=sharing"",""แผน!AT81"")"),0)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IFERROR(__xludf.DUMMYFUNCTION("IMPORTRANGE(""https://docs.google.com/spreadsheets/d/1eHaY18a8A9IcSdp1K8H6x8fbOy06t2VsZHhMHf-1x7Y/edit?usp=sharing"",""แผน!AV81"")"),20000)</f>
        <v>20000</v>
      </c>
      <c r="J228" s="169">
        <v>20000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IFERROR(__xludf.DUMMYFUNCTION("IMPORTRANGE(""https://docs.google.com/spreadsheets/d/1eHaY18a8A9IcSdp1K8H6x8fbOy06t2VsZHhMHf-1x7Y/edit?usp=sharing"",""แผน!AV81"")"),20000)</f>
        <v>20000</v>
      </c>
      <c r="J229" s="169">
        <v>20000</v>
      </c>
      <c r="K229" s="154">
        <f t="shared" ca="1" si="152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IFERROR(__xludf.DUMMYFUNCTION("IMPORTRANGE(""https://docs.google.com/spreadsheets/d/1eHaY18a8A9IcSdp1K8H6x8fbOy06t2VsZHhMHf-1x7Y/edit?usp=sharing"",""แผน!AU81"")"),0)</f>
        <v>0</v>
      </c>
      <c r="J230" s="169">
        <v>0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3">I242+I253</f>
        <v>0</v>
      </c>
      <c r="J231" s="646">
        <f t="shared" si="153"/>
        <v>0</v>
      </c>
      <c r="K231" s="64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6">I249+I260</f>
        <v>0</v>
      </c>
      <c r="J238" s="517">
        <f t="shared" si="156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7">I251+I262</f>
        <v>0</v>
      </c>
      <c r="J240" s="517">
        <f t="shared" si="157"/>
        <v>0</v>
      </c>
      <c r="K240" s="49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7"/>
        <v>0</v>
      </c>
      <c r="J241" s="517">
        <f t="shared" si="157"/>
        <v>0</v>
      </c>
      <c r="K241" s="49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IFERROR(__xludf.DUMMYFUNCTION("IMPORTRANGE(""https://docs.google.com/spreadsheets/d/1eHaY18a8A9IcSdp1K8H6x8fbOy06t2VsZHhMHf-1x7Y/edit?usp=sharing"",""แผน!AX81"")"),0)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IFERROR(__xludf.DUMMYFUNCTION("IMPORTRANGE(""https://docs.google.com/spreadsheets/d/1eHaY18a8A9IcSdp1K8H6x8fbOy06t2VsZHhMHf-1x7Y/edit?usp=sharing"",""แผน!AY81"")"),0)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IFERROR(__xludf.DUMMYFUNCTION("IMPORTRANGE(""https://docs.google.com/spreadsheets/d/1eHaY18a8A9IcSdp1K8H6x8fbOy06t2VsZHhMHf-1x7Y/edit?usp=sharing"",""แผน!AZ81"")"),0)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IFERROR(__xludf.DUMMYFUNCTION("IMPORTRANGE(""https://docs.google.com/spreadsheets/d/1eHaY18a8A9IcSdp1K8H6x8fbOy06t2VsZHhMHf-1x7Y/edit?usp=sharing"",""แผน!BA81"")"),0)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IFERROR(__xludf.DUMMYFUNCTION("IMPORTRANGE(""https://docs.google.com/spreadsheets/d/1eHaY18a8A9IcSdp1K8H6x8fbOy06t2VsZHhMHf-1x7Y/edit?usp=sharing"",""แผน!BG81"")"),0)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IFERROR(__xludf.DUMMYFUNCTION("IMPORTRANGE(""https://docs.google.com/spreadsheets/d/1eHaY18a8A9IcSdp1K8H6x8fbOy06t2VsZHhMHf-1x7Y/edit?usp=sharing"",""แผน!BB81"")"),0)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IFERROR(__xludf.DUMMYFUNCTION("IMPORTRANGE(""https://docs.google.com/spreadsheets/d/1eHaY18a8A9IcSdp1K8H6x8fbOy06t2VsZHhMHf-1x7Y/edit?usp=sharing"",""แผน!BC81"")"),0)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IFERROR(__xludf.DUMMYFUNCTION("IMPORTRANGE(""https://docs.google.com/spreadsheets/d/1eHaY18a8A9IcSdp1K8H6x8fbOy06t2VsZHhMHf-1x7Y/edit?usp=sharing"",""แผน!BD81"")"),0)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IFERROR(__xludf.DUMMYFUNCTION("IMPORTRANGE(""https://docs.google.com/spreadsheets/d/1eHaY18a8A9IcSdp1K8H6x8fbOy06t2VsZHhMHf-1x7Y/edit?usp=sharing"",""แผน!BE81"")"),0)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IFERROR(__xludf.DUMMYFUNCTION("IMPORTRANGE(""https://docs.google.com/spreadsheets/d/1eHaY18a8A9IcSdp1K8H6x8fbOy06t2VsZHhMHf-1x7Y/edit?usp=sharing"",""แผน!BH81"")"),0)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81"/>
      <c r="M264" s="680"/>
      <c r="N264" s="680"/>
      <c r="O264" s="680"/>
      <c r="P264" s="680"/>
      <c r="Q264" s="680"/>
      <c r="R264" s="680"/>
      <c r="S264" s="680"/>
      <c r="T264" s="680"/>
      <c r="U264" s="680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22</v>
      </c>
      <c r="J265" s="686">
        <f t="shared" si="163"/>
        <v>22</v>
      </c>
      <c r="K265" s="687">
        <f ca="1">IF(I265&gt;0,J265*100/I265,0)</f>
        <v>100</v>
      </c>
      <c r="L265" s="688"/>
      <c r="M265" s="689"/>
      <c r="N265" s="689"/>
      <c r="O265" s="689"/>
      <c r="P265" s="689"/>
      <c r="Q265" s="689"/>
      <c r="R265" s="689"/>
      <c r="S265" s="689"/>
      <c r="T265" s="689"/>
      <c r="U265" s="689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91">
        <f t="shared" ref="L266:N266" ca="1" si="164">L267+L268</f>
        <v>5000</v>
      </c>
      <c r="M266" s="441">
        <f t="shared" ca="1" si="164"/>
        <v>5000</v>
      </c>
      <c r="N266" s="441">
        <f t="shared" ca="1" si="164"/>
        <v>5000</v>
      </c>
      <c r="O266" s="441">
        <f t="shared" ref="O266:O274" ca="1" si="165">IF(L266&gt;0,N266*100/L266,0)</f>
        <v>100</v>
      </c>
      <c r="P266" s="441">
        <f t="shared" ref="P266:P274" ca="1" si="166">IF(M266&gt;0,N266*100/M266,0)</f>
        <v>100</v>
      </c>
      <c r="Q266" s="441">
        <f t="shared" ref="Q266:S266" ca="1" si="167">Q267+Q268</f>
        <v>50660</v>
      </c>
      <c r="R266" s="441">
        <f t="shared" ca="1" si="167"/>
        <v>46733</v>
      </c>
      <c r="S266" s="441">
        <f t="shared" ca="1" si="167"/>
        <v>45733</v>
      </c>
      <c r="T266" s="441">
        <f t="shared" ref="T266:T274" ca="1" si="168">IF(Q266&gt;0,S266*100/Q266,0)</f>
        <v>90.274378207658899</v>
      </c>
      <c r="U266" s="441">
        <f t="shared" ref="U266:U274" ca="1" si="169">IF(R266&gt;0,S266*100/R266,0)</f>
        <v>97.860184452100228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692">
        <f t="shared" ca="1" si="170"/>
        <v>5000</v>
      </c>
      <c r="M268" s="352">
        <f t="shared" ca="1" si="170"/>
        <v>5000</v>
      </c>
      <c r="N268" s="352">
        <f t="shared" ca="1" si="170"/>
        <v>5000</v>
      </c>
      <c r="O268" s="352">
        <f t="shared" ca="1" si="165"/>
        <v>100</v>
      </c>
      <c r="P268" s="352">
        <f t="shared" ca="1" si="166"/>
        <v>100</v>
      </c>
      <c r="Q268" s="352">
        <f t="shared" ca="1" si="171"/>
        <v>50660</v>
      </c>
      <c r="R268" s="352">
        <f t="shared" ca="1" si="171"/>
        <v>46733</v>
      </c>
      <c r="S268" s="352">
        <f t="shared" ca="1" si="171"/>
        <v>45733</v>
      </c>
      <c r="T268" s="352">
        <f t="shared" ca="1" si="168"/>
        <v>90.274378207658899</v>
      </c>
      <c r="U268" s="352">
        <f t="shared" ca="1" si="169"/>
        <v>97.860184452100228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692">
        <f t="shared" ref="L269:N269" ca="1" si="172">L270+L271</f>
        <v>5000</v>
      </c>
      <c r="M269" s="352">
        <f t="shared" ca="1" si="172"/>
        <v>5000</v>
      </c>
      <c r="N269" s="352">
        <f t="shared" ca="1" si="172"/>
        <v>5000</v>
      </c>
      <c r="O269" s="352">
        <f t="shared" ca="1" si="165"/>
        <v>100</v>
      </c>
      <c r="P269" s="352">
        <f t="shared" ca="1" si="166"/>
        <v>100</v>
      </c>
      <c r="Q269" s="352">
        <f t="shared" ref="Q269:S269" ca="1" si="173">Q270+Q271</f>
        <v>50660</v>
      </c>
      <c r="R269" s="352">
        <f t="shared" ca="1" si="173"/>
        <v>46733</v>
      </c>
      <c r="S269" s="352">
        <f t="shared" ca="1" si="173"/>
        <v>45733</v>
      </c>
      <c r="T269" s="352">
        <f t="shared" ca="1" si="168"/>
        <v>90.274378207658899</v>
      </c>
      <c r="U269" s="352">
        <f t="shared" ca="1" si="169"/>
        <v>97.860184452100228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692">
        <f ca="1">IFERROR(__xludf.DUMMYFUNCTION("IMPORTRANGE(""https://docs.google.com/spreadsheets/d/1-uDff_7J0KD5mKrp0Vvzr7lt3OU09vwQwhkpOPPYv2Y/edit?usp=sharing"",""งบพรบ!DE81"")"),5000)</f>
        <v>5000</v>
      </c>
      <c r="M271" s="352">
        <f ca="1">IFERROR(__xludf.DUMMYFUNCTION("IMPORTRANGE(""https://docs.google.com/spreadsheets/d/1-uDff_7J0KD5mKrp0Vvzr7lt3OU09vwQwhkpOPPYv2Y/edit?usp=sharing"",""งบพรบ!DJ81"")"),5000)</f>
        <v>5000</v>
      </c>
      <c r="N271" s="352">
        <f ca="1">IFERROR(__xludf.DUMMYFUNCTION("IMPORTRANGE(""https://docs.google.com/spreadsheets/d/1-uDff_7J0KD5mKrp0Vvzr7lt3OU09vwQwhkpOPPYv2Y/edit?usp=sharing"",""งบพรบ!DL81"")"),5000)</f>
        <v>5000</v>
      </c>
      <c r="O271" s="352">
        <f t="shared" ca="1" si="165"/>
        <v>100</v>
      </c>
      <c r="P271" s="352">
        <f t="shared" ca="1" si="166"/>
        <v>100</v>
      </c>
      <c r="Q271" s="352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352">
        <f ca="1">IFERROR(__xludf.DUMMYFUNCTION("IMPORTRANGE(""https://docs.google.com/spreadsheets/d/1ItG2mGa2ceCfYo0BwxsXqNm01IGEUdYcSSLTEv9YCik/edit?usp=sharing"",""เบิกจ่ายกองทุน!AQ81"")"),46733)</f>
        <v>46733</v>
      </c>
      <c r="S271" s="352">
        <f ca="1">IFERROR(__xludf.DUMMYFUNCTION("IMPORTRANGE(""https://docs.google.com/spreadsheets/d/1ItG2mGa2ceCfYo0BwxsXqNm01IGEUdYcSSLTEv9YCik/edit?usp=sharing"",""เบิกจ่ายกองทุน!AR81"")"),45733)</f>
        <v>45733</v>
      </c>
      <c r="T271" s="352">
        <f t="shared" ca="1" si="168"/>
        <v>90.274378207658899</v>
      </c>
      <c r="U271" s="352">
        <f t="shared" ca="1" si="169"/>
        <v>97.860184452100228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692">
        <f t="shared" ref="L272:N272" ca="1" si="174">L273+L274</f>
        <v>0</v>
      </c>
      <c r="M272" s="352">
        <f t="shared" ca="1" si="174"/>
        <v>0</v>
      </c>
      <c r="N272" s="352">
        <f t="shared" ca="1" si="174"/>
        <v>0</v>
      </c>
      <c r="O272" s="352">
        <f t="shared" ca="1" si="165"/>
        <v>0</v>
      </c>
      <c r="P272" s="352">
        <f t="shared" ca="1" si="166"/>
        <v>0</v>
      </c>
      <c r="Q272" s="352">
        <f t="shared" ref="Q272:S272" si="175">Q273+Q274</f>
        <v>0</v>
      </c>
      <c r="R272" s="352">
        <f t="shared" si="175"/>
        <v>0</v>
      </c>
      <c r="S272" s="352">
        <f t="shared" si="175"/>
        <v>0</v>
      </c>
      <c r="T272" s="352">
        <f t="shared" si="168"/>
        <v>0</v>
      </c>
      <c r="U272" s="352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692">
        <f ca="1">IFERROR(__xludf.DUMMYFUNCTION("IMPORTRANGE(""https://docs.google.com/spreadsheets/d/1-uDff_7J0KD5mKrp0Vvzr7lt3OU09vwQwhkpOPPYv2Y/edit?usp=sharing"",""งบพรบ!DH81"")"),0)</f>
        <v>0</v>
      </c>
      <c r="M274" s="352">
        <f ca="1">IFERROR(__xludf.DUMMYFUNCTION("IMPORTRANGE(""https://docs.google.com/spreadsheets/d/1-uDff_7J0KD5mKrp0Vvzr7lt3OU09vwQwhkpOPPYv2Y/edit?usp=sharing"",""งบพรบ!DK81"")"),0)</f>
        <v>0</v>
      </c>
      <c r="N274" s="352">
        <f ca="1">IFERROR(__xludf.DUMMYFUNCTION("IMPORTRANGE(""https://docs.google.com/spreadsheets/d/1-uDff_7J0KD5mKrp0Vvzr7lt3OU09vwQwhkpOPPYv2Y/edit?usp=sharing"",""งบพรบ!DM81"")"),0)</f>
        <v>0</v>
      </c>
      <c r="O274" s="352">
        <f t="shared" ca="1" si="165"/>
        <v>0</v>
      </c>
      <c r="P274" s="352">
        <f t="shared" ca="1" si="166"/>
        <v>0</v>
      </c>
      <c r="Q274" s="352">
        <v>0</v>
      </c>
      <c r="R274" s="352">
        <v>0</v>
      </c>
      <c r="S274" s="352">
        <v>0</v>
      </c>
      <c r="T274" s="352">
        <f t="shared" si="168"/>
        <v>0</v>
      </c>
      <c r="U274" s="352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95"/>
      <c r="M275" s="449"/>
      <c r="N275" s="449"/>
      <c r="O275" s="449"/>
      <c r="P275" s="449"/>
      <c r="Q275" s="449"/>
      <c r="R275" s="449"/>
      <c r="S275" s="449"/>
      <c r="T275" s="449"/>
      <c r="U275" s="449"/>
    </row>
    <row r="276" spans="1:21" ht="18.75" x14ac:dyDescent="0.25">
      <c r="A276" s="696"/>
      <c r="B276" s="333"/>
      <c r="C276" s="333"/>
      <c r="D276" s="697" t="s">
        <v>115</v>
      </c>
      <c r="E276" s="332"/>
      <c r="F276" s="332"/>
      <c r="G276" s="335"/>
      <c r="H276" s="336" t="s">
        <v>35</v>
      </c>
      <c r="I276" s="412">
        <f ca="1">IFERROR(__xludf.DUMMYFUNCTION("IMPORTRANGE(""https://docs.google.com/spreadsheets/d/1eHaY18a8A9IcSdp1K8H6x8fbOy06t2VsZHhMHf-1x7Y/edit?usp=sharing"",""แผน!EC81"")"),22)</f>
        <v>22</v>
      </c>
      <c r="J276" s="178">
        <v>22</v>
      </c>
      <c r="K276" s="179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74"/>
      <c r="B277" s="275"/>
      <c r="C277" s="275"/>
      <c r="D277" s="698" t="s">
        <v>116</v>
      </c>
      <c r="E277" s="277"/>
      <c r="F277" s="277"/>
      <c r="G277" s="278"/>
      <c r="H277" s="699" t="s">
        <v>35</v>
      </c>
      <c r="I277" s="520">
        <v>0</v>
      </c>
      <c r="J277" s="520">
        <v>0</v>
      </c>
      <c r="K277" s="700">
        <v>0</v>
      </c>
      <c r="L277" s="701"/>
      <c r="M277" s="280"/>
      <c r="N277" s="280"/>
      <c r="O277" s="280"/>
      <c r="P277" s="280"/>
      <c r="Q277" s="280"/>
      <c r="R277" s="280"/>
      <c r="S277" s="280"/>
      <c r="T277" s="280"/>
      <c r="U277" s="280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IFERROR(__xludf.DUMMYFUNCTION("IMPORTRANGE(""https://docs.google.com/spreadsheets/d/1eHaY18a8A9IcSdp1K8H6x8fbOy06t2VsZHhMHf-1x7Y/edit?usp=sharing"",""แผน!EE81"")"),0)</f>
        <v>0</v>
      </c>
      <c r="J292" s="169">
        <v>0</v>
      </c>
      <c r="K292" s="154">
        <f t="shared" ref="K292:K293" ca="1" si="191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IFERROR(__xludf.DUMMYFUNCTION("IMPORTRANGE(""https://docs.google.com/spreadsheets/d/1eHaY18a8A9IcSdp1K8H6x8fbOy06t2VsZHhMHf-1x7Y/edit?usp=sharing"",""แผน!ED81"")"),0)</f>
        <v>0</v>
      </c>
      <c r="J293" s="371">
        <f>J296</f>
        <v>0</v>
      </c>
      <c r="K293" s="149">
        <f t="shared" ca="1" si="191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IFERROR(__xludf.DUMMYFUNCTION("IMPORTRANGE(""https://docs.google.com/spreadsheets/d/1eHaY18a8A9IcSdp1K8H6x8fbOy06t2VsZHhMHf-1x7Y/edit?usp=sharing"",""แผน!ED81"")"),0)</f>
        <v>0</v>
      </c>
      <c r="J295" s="169">
        <v>0</v>
      </c>
      <c r="K295" s="154">
        <f t="shared" ref="K295:K296" ca="1" si="192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IFERROR(__xludf.DUMMYFUNCTION("IMPORTRANGE(""https://docs.google.com/spreadsheets/d/1eHaY18a8A9IcSdp1K8H6x8fbOy06t2VsZHhMHf-1x7Y/edit?usp=sharing"",""แผน!ED81"")"),0)</f>
        <v>0</v>
      </c>
      <c r="J296" s="169">
        <v>0</v>
      </c>
      <c r="K296" s="154">
        <f t="shared" ca="1" si="192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25</v>
      </c>
      <c r="J302" s="321">
        <f t="shared" si="193"/>
        <v>25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0</v>
      </c>
      <c r="M303" s="133">
        <f t="shared" ca="1" si="194"/>
        <v>0</v>
      </c>
      <c r="N303" s="133">
        <f t="shared" ca="1" si="194"/>
        <v>0</v>
      </c>
      <c r="O303" s="133">
        <f t="shared" ref="O303:O311" ca="1" si="195">IF(L303&gt;0,N303*100/L303,0)</f>
        <v>0</v>
      </c>
      <c r="P303" s="133">
        <f t="shared" ref="P303:P311" ca="1" si="196">IF(M303&gt;0,N303*100/M303,0)</f>
        <v>0</v>
      </c>
      <c r="Q303" s="133">
        <f t="shared" ref="Q303:S303" ca="1" si="197">Q304+Q305</f>
        <v>226234.22</v>
      </c>
      <c r="R303" s="133">
        <f t="shared" ca="1" si="197"/>
        <v>230434</v>
      </c>
      <c r="S303" s="133">
        <f t="shared" ca="1" si="197"/>
        <v>205347</v>
      </c>
      <c r="T303" s="133">
        <f t="shared" ref="T303:T311" ca="1" si="198">IF(Q303&gt;0,S303*100/Q303,0)</f>
        <v>90.767435624902362</v>
      </c>
      <c r="U303" s="133">
        <f t="shared" ref="U303:U311" ca="1" si="199">IF(R303&gt;0,S303*100/R303,0)</f>
        <v>89.113151705043521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0</v>
      </c>
      <c r="M305" s="47">
        <f t="shared" ca="1" si="200"/>
        <v>0</v>
      </c>
      <c r="N305" s="47">
        <f t="shared" ca="1" si="200"/>
        <v>0</v>
      </c>
      <c r="O305" s="47">
        <f t="shared" ca="1" si="195"/>
        <v>0</v>
      </c>
      <c r="P305" s="47">
        <f t="shared" ca="1" si="196"/>
        <v>0</v>
      </c>
      <c r="Q305" s="47">
        <f t="shared" ca="1" si="201"/>
        <v>226234.22</v>
      </c>
      <c r="R305" s="47">
        <f t="shared" ca="1" si="201"/>
        <v>230434</v>
      </c>
      <c r="S305" s="47">
        <f t="shared" ca="1" si="201"/>
        <v>205347</v>
      </c>
      <c r="T305" s="47">
        <f t="shared" ca="1" si="198"/>
        <v>90.767435624902362</v>
      </c>
      <c r="U305" s="47">
        <f t="shared" ca="1" si="199"/>
        <v>89.113151705043521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0</v>
      </c>
      <c r="M306" s="47">
        <f t="shared" ca="1" si="202"/>
        <v>0</v>
      </c>
      <c r="N306" s="47">
        <f t="shared" ca="1" si="202"/>
        <v>0</v>
      </c>
      <c r="O306" s="47">
        <f t="shared" ca="1" si="195"/>
        <v>0</v>
      </c>
      <c r="P306" s="47">
        <f t="shared" ca="1" si="196"/>
        <v>0</v>
      </c>
      <c r="Q306" s="47">
        <f t="shared" ref="Q306:S306" ca="1" si="203">Q307+Q308</f>
        <v>226234.22</v>
      </c>
      <c r="R306" s="47">
        <f t="shared" ca="1" si="203"/>
        <v>230434</v>
      </c>
      <c r="S306" s="47">
        <f t="shared" ca="1" si="203"/>
        <v>205347</v>
      </c>
      <c r="T306" s="47">
        <f t="shared" ca="1" si="198"/>
        <v>90.767435624902362</v>
      </c>
      <c r="U306" s="47">
        <f t="shared" ca="1" si="199"/>
        <v>89.113151705043521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t="shared" ca="1" si="195"/>
        <v>0</v>
      </c>
      <c r="P308" s="47">
        <f t="shared" ca="1" si="196"/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IFERROR(__xludf.DUMMYFUNCTION("IMPORTRANGE(""https://docs.google.com/spreadsheets/d/1ItG2mGa2ceCfYo0BwxsXqNm01IGEUdYcSSLTEv9YCik/edit?usp=sharing"",""เบิกจ่ายกองทุน!BC81"")"),230434)</f>
        <v>230434</v>
      </c>
      <c r="S308" s="47">
        <f ca="1">IFERROR(__xludf.DUMMYFUNCTION("IMPORTRANGE(""https://docs.google.com/spreadsheets/d/1ItG2mGa2ceCfYo0BwxsXqNm01IGEUdYcSSLTEv9YCik/edit?usp=sharing"",""เบิกจ่ายกองทุน!BD81"")"),205347)</f>
        <v>205347</v>
      </c>
      <c r="T308" s="47">
        <f t="shared" ca="1" si="198"/>
        <v>90.767435624902362</v>
      </c>
      <c r="U308" s="47">
        <f t="shared" ca="1" si="199"/>
        <v>89.113151705043521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IFERROR(__xludf.DUMMYFUNCTION("IMPORTRANGE(""https://docs.google.com/spreadsheets/d/1eHaY18a8A9IcSdp1K8H6x8fbOy06t2VsZHhMHf-1x7Y/edit?usp=sharing"",""แผน!EF81"")"),25)</f>
        <v>25</v>
      </c>
      <c r="J314" s="169">
        <v>25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0</v>
      </c>
      <c r="J319" s="321">
        <f t="shared" si="206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0</v>
      </c>
      <c r="M320" s="133">
        <f t="shared" ca="1" si="207"/>
        <v>0</v>
      </c>
      <c r="N320" s="133">
        <f t="shared" ca="1" si="207"/>
        <v>0</v>
      </c>
      <c r="O320" s="133">
        <f t="shared" ref="O320:O328" ca="1" si="208">IF(L320&gt;0,N320*100/L320,0)</f>
        <v>0</v>
      </c>
      <c r="P320" s="133">
        <f t="shared" ref="P320:P328" ca="1" si="209">IF(M320&gt;0,N320*100/M320,0)</f>
        <v>0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0</v>
      </c>
      <c r="M322" s="47">
        <f t="shared" ca="1" si="213"/>
        <v>0</v>
      </c>
      <c r="N322" s="47">
        <f t="shared" ca="1" si="213"/>
        <v>0</v>
      </c>
      <c r="O322" s="47">
        <f t="shared" ca="1" si="208"/>
        <v>0</v>
      </c>
      <c r="P322" s="47">
        <f t="shared" ca="1" si="209"/>
        <v>0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0</v>
      </c>
      <c r="M323" s="47">
        <f t="shared" ca="1" si="215"/>
        <v>0</v>
      </c>
      <c r="N323" s="47">
        <f t="shared" ca="1" si="215"/>
        <v>0</v>
      </c>
      <c r="O323" s="47">
        <f t="shared" ca="1" si="208"/>
        <v>0</v>
      </c>
      <c r="P323" s="47">
        <f t="shared" ca="1" si="209"/>
        <v>0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t="shared" ca="1" si="208"/>
        <v>0</v>
      </c>
      <c r="P325" s="47">
        <f t="shared" ca="1" si="209"/>
        <v>0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IFERROR(__xludf.DUMMYFUNCTION("IMPORTRANGE(""https://docs.google.com/spreadsheets/d/1eHaY18a8A9IcSdp1K8H6x8fbOy06t2VsZHhMHf-1x7Y/edit?usp=sharing"",""แผน!EJ81"")"),0)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IFERROR(__xludf.DUMMYFUNCTION("IMPORTRANGE(""https://docs.google.com/spreadsheets/d/1eHaY18a8A9IcSdp1K8H6x8fbOy06t2VsZHhMHf-1x7Y/edit?usp=sharing"",""แผน!EK81"")"),800)</f>
        <v>800</v>
      </c>
      <c r="J332" s="718">
        <f ca="1">J344+J347+J348+J349+J353+J354</f>
        <v>1827</v>
      </c>
      <c r="K332" s="719">
        <f ca="1">IF(I332&gt;0,J332*100/I332,0)</f>
        <v>228.375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178000</v>
      </c>
      <c r="M333" s="133">
        <f t="shared" ca="1" si="219"/>
        <v>178000</v>
      </c>
      <c r="N333" s="133">
        <f t="shared" ca="1" si="219"/>
        <v>158348.15</v>
      </c>
      <c r="O333" s="133">
        <f t="shared" ref="O333:O341" ca="1" si="220">IF(L333&gt;0,N333*100/L333,0)</f>
        <v>88.959634831460676</v>
      </c>
      <c r="P333" s="133">
        <f t="shared" ref="P333:P341" ca="1" si="221">IF(M333&gt;0,N333*100/M333,0)</f>
        <v>88.959634831460676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178000</v>
      </c>
      <c r="M335" s="47">
        <f t="shared" ca="1" si="225"/>
        <v>178000</v>
      </c>
      <c r="N335" s="47">
        <f t="shared" ca="1" si="225"/>
        <v>158348.15</v>
      </c>
      <c r="O335" s="47">
        <f t="shared" ca="1" si="220"/>
        <v>88.959634831460676</v>
      </c>
      <c r="P335" s="47">
        <f t="shared" ca="1" si="221"/>
        <v>88.959634831460676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178000</v>
      </c>
      <c r="M336" s="47">
        <f t="shared" ca="1" si="227"/>
        <v>178000</v>
      </c>
      <c r="N336" s="47">
        <f t="shared" ca="1" si="227"/>
        <v>158348.15</v>
      </c>
      <c r="O336" s="47">
        <f t="shared" ca="1" si="220"/>
        <v>88.959634831460676</v>
      </c>
      <c r="P336" s="47">
        <f t="shared" ca="1" si="221"/>
        <v>88.959634831460676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IFERROR(__xludf.DUMMYFUNCTION("IMPORTRANGE(""https://docs.google.com/spreadsheets/d/1-uDff_7J0KD5mKrp0Vvzr7lt3OU09vwQwhkpOPPYv2Y/edit?usp=sharing"",""งบพรบ!EX81"")"),178000)</f>
        <v>178000</v>
      </c>
      <c r="N338" s="47">
        <f ca="1">IFERROR(__xludf.DUMMYFUNCTION("IMPORTRANGE(""https://docs.google.com/spreadsheets/d/1-uDff_7J0KD5mKrp0Vvzr7lt3OU09vwQwhkpOPPYv2Y/edit?usp=sharing"",""งบพรบ!EZ81"")"),158348.15)</f>
        <v>158348.15</v>
      </c>
      <c r="O338" s="47">
        <f t="shared" ca="1" si="220"/>
        <v>88.959634831460676</v>
      </c>
      <c r="P338" s="47">
        <f t="shared" ca="1" si="221"/>
        <v>88.959634831460676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664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IFERROR(__xludf.DUMMYFUNCTION("IMPORTRANGE(""https://docs.google.com/spreadsheets/d/1awYsYK3VOup2i3Pq_Yjnu8DRu_mYwSBnCR2QPthd0rU/edit?usp=sharing"",""ศูนย์ยกเว้นโฉนด!D81"")"),654)</f>
        <v>654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IFERROR(__xludf.DUMMYFUNCTION("IMPORTRANGE(""https://docs.google.com/spreadsheets/d/1eHaY18a8A9IcSdp1K8H6x8fbOy06t2VsZHhMHf-1x7Y/edit?usp=sharing"",""แผน!EL81"")"),5)</f>
        <v>5</v>
      </c>
      <c r="J346" s="372">
        <f ca="1">IFERROR(__xludf.DUMMYFUNCTION("IMPORTRANGE(""https://docs.google.com/spreadsheets/d/1awYsYK3VOup2i3Pq_Yjnu8DRu_mYwSBnCR2QPthd0rU/edit?usp=sharing"",""ศูนย์รวม!E81"")"),4)</f>
        <v>4</v>
      </c>
      <c r="K346" s="47">
        <f ca="1">IF(I346&gt;0,J346*100/I346,0)</f>
        <v>80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IFERROR(__xludf.DUMMYFUNCTION("IMPORTRANGE(""https://docs.google.com/spreadsheets/d/1awYsYK3VOup2i3Pq_Yjnu8DRu_mYwSBnCR2QPthd0rU/edit?usp=sharing"",""ศูนย์ยกเว้นโฉนด!F81"")"),9)</f>
        <v>9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IFERROR(__xludf.DUMMYFUNCTION("IMPORTRANGE(""https://docs.google.com/spreadsheets/d/1awYsYK3VOup2i3Pq_Yjnu8DRu_mYwSBnCR2QPthd0rU/edit?usp=sharing"",""ศูนย์ยกเว้นโฉนด!G81"")"),1)</f>
        <v>1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1163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IFERROR(__xludf.DUMMYFUNCTION("IMPORTRANGE(""https://docs.google.com/spreadsheets/d/1awYsYK3VOup2i3Pq_Yjnu8DRu_mYwSBnCR2QPthd0rU/edit?usp=sharing"",""โฉนดM3!G81"")"),445)</f>
        <v>445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IFERROR(__xludf.DUMMYFUNCTION("IMPORTRANGE(""https://docs.google.com/spreadsheets/d/1awYsYK3VOup2i3Pq_Yjnu8DRu_mYwSBnCR2QPthd0rU/edit?usp=sharing"",""โฉนดM3!H81"")"),806)</f>
        <v>806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IFERROR(__xludf.DUMMYFUNCTION("IMPORTRANGE(""https://docs.google.com/spreadsheets/d/1awYsYK3VOup2i3Pq_Yjnu8DRu_mYwSBnCR2QPthd0rU/edit?usp=sharing"",""โฉนดM3!I81"")"),357)</f>
        <v>357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658660</v>
      </c>
      <c r="M356" s="133">
        <f t="shared" ca="1" si="231"/>
        <v>749660</v>
      </c>
      <c r="N356" s="133">
        <f t="shared" ca="1" si="231"/>
        <v>513386.67</v>
      </c>
      <c r="O356" s="133">
        <f t="shared" ref="O356:O364" ca="1" si="232">IF(L356&gt;0,N356*100/L356,0)</f>
        <v>77.94410925211794</v>
      </c>
      <c r="P356" s="133">
        <f t="shared" ref="P356:P364" ca="1" si="233">IF(M356&gt;0,N356*100/M356,0)</f>
        <v>68.482601445988848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658660</v>
      </c>
      <c r="M358" s="47">
        <f t="shared" ca="1" si="237"/>
        <v>749660</v>
      </c>
      <c r="N358" s="47">
        <f t="shared" ca="1" si="237"/>
        <v>513386.67</v>
      </c>
      <c r="O358" s="47">
        <f t="shared" ca="1" si="232"/>
        <v>77.94410925211794</v>
      </c>
      <c r="P358" s="47">
        <f t="shared" ca="1" si="233"/>
        <v>68.482601445988848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658660</v>
      </c>
      <c r="M359" s="47">
        <f t="shared" ca="1" si="239"/>
        <v>749660</v>
      </c>
      <c r="N359" s="47">
        <f t="shared" ca="1" si="239"/>
        <v>513386.67</v>
      </c>
      <c r="O359" s="47">
        <f t="shared" ca="1" si="232"/>
        <v>77.94410925211794</v>
      </c>
      <c r="P359" s="47">
        <f t="shared" ca="1" si="233"/>
        <v>68.482601445988848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IFERROR(__xludf.DUMMYFUNCTION("IMPORTRANGE(""https://docs.google.com/spreadsheets/d/1-uDff_7J0KD5mKrp0Vvzr7lt3OU09vwQwhkpOPPYv2Y/edit?usp=sharing"",""งบพรบ!FH81"")"),749660)</f>
        <v>749660</v>
      </c>
      <c r="N361" s="47">
        <f ca="1">IFERROR(__xludf.DUMMYFUNCTION("IMPORTRANGE(""https://docs.google.com/spreadsheets/d/1-uDff_7J0KD5mKrp0Vvzr7lt3OU09vwQwhkpOPPYv2Y/edit?usp=sharing"",""งบพรบ!FJ81"")"),513386.67)</f>
        <v>513386.67</v>
      </c>
      <c r="O361" s="47">
        <f t="shared" ca="1" si="232"/>
        <v>77.94410925211794</v>
      </c>
      <c r="P361" s="47">
        <f t="shared" ca="1" si="233"/>
        <v>68.482601445988848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60</v>
      </c>
      <c r="J365" s="236">
        <f t="shared" ca="1" si="243"/>
        <v>50</v>
      </c>
      <c r="K365" s="237">
        <f ca="1">IF(I365&gt;0,J365*100/I365,0)</f>
        <v>83.333333333333329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IFERROR(__xludf.DUMMYFUNCTION("IMPORTRANGE(""https://docs.google.com/spreadsheets/d/1tdoBKaGub7dwA3U6UFTqxio9LNnvDCQjHKmttSEBsFQ/edit?usp=sharing"",""จัดที่ดิน!AB81"")"),24)</f>
        <v>24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IFERROR(__xludf.DUMMYFUNCTION("IMPORTRANGE(""https://docs.google.com/spreadsheets/d/1eHaY18a8A9IcSdp1K8H6x8fbOy06t2VsZHhMHf-1x7Y/edit?usp=sharing"",""แผน!EW81"")"),115)</f>
        <v>115</v>
      </c>
      <c r="J368" s="729">
        <f ca="1">IFERROR(__xludf.DUMMYFUNCTION("IMPORTRANGE(""https://docs.google.com/spreadsheets/d/1tdoBKaGub7dwA3U6UFTqxio9LNnvDCQjHKmttSEBsFQ/edit?usp=sharing"",""จัดที่ดิน!AC81"")"),211.23)</f>
        <v>211.23</v>
      </c>
      <c r="K368" s="47">
        <f t="shared" ca="1" si="244"/>
        <v>183.67826086956521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IFERROR(__xludf.DUMMYFUNCTION("IMPORTRANGE(""https://docs.google.com/spreadsheets/d/1eHaY18a8A9IcSdp1K8H6x8fbOy06t2VsZHhMHf-1x7Y/edit?usp=sharing"",""แผน!EX81"")"),60)</f>
        <v>60</v>
      </c>
      <c r="J369" s="372">
        <f ca="1">IFERROR(__xludf.DUMMYFUNCTION("IMPORTRANGE(""https://docs.google.com/spreadsheets/d/1tdoBKaGub7dwA3U6UFTqxio9LNnvDCQjHKmttSEBsFQ/edit?usp=sharing"",""จัดที่ดิน!AD81"")"),58)</f>
        <v>58</v>
      </c>
      <c r="K369" s="47">
        <f t="shared" ca="1" si="244"/>
        <v>96.666666666666671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IFERROR(__xludf.DUMMYFUNCTION("IMPORTRANGE(""https://docs.google.com/spreadsheets/d/1tdoBKaGub7dwA3U6UFTqxio9LNnvDCQjHKmttSEBsFQ/edit?usp=sharing"",""จัดที่ดิน!AE81"")"),660.38)</f>
        <v>660.38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IFERROR(__xludf.DUMMYFUNCTION("IMPORTRANGE(""https://docs.google.com/spreadsheets/d/1eHaY18a8A9IcSdp1K8H6x8fbOy06t2VsZHhMHf-1x7Y/edit?usp=sharing"",""แผน!EY81"")"),60)</f>
        <v>60</v>
      </c>
      <c r="J371" s="372">
        <f ca="1">IFERROR(__xludf.DUMMYFUNCTION("IMPORTRANGE(""https://docs.google.com/spreadsheets/d/1tdoBKaGub7dwA3U6UFTqxio9LNnvDCQjHKmttSEBsFQ/edit?usp=sharing"",""จัดที่ดิน!AF81"")"),50)</f>
        <v>50</v>
      </c>
      <c r="K371" s="47">
        <f t="shared" ca="1" si="244"/>
        <v>83.333333333333329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IFERROR(__xludf.DUMMYFUNCTION("IMPORTRANGE(""https://docs.google.com/spreadsheets/d/1tdoBKaGub7dwA3U6UFTqxio9LNnvDCQjHKmttSEBsFQ/edit?usp=sharing"",""จัดที่ดิน!AG81"")"),582.4)</f>
        <v>582.4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I386+I388</f>
        <v>150</v>
      </c>
      <c r="J374" s="737">
        <f t="shared" ca="1" si="245"/>
        <v>104</v>
      </c>
      <c r="K374" s="738">
        <f ca="1">IF(I374&gt;0,J374*100/I374,0)</f>
        <v>69.333333333333329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x14ac:dyDescent="0.3">
      <c r="A375" s="129"/>
      <c r="B375" s="160"/>
      <c r="C375" s="409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45100</v>
      </c>
      <c r="M375" s="133">
        <f t="shared" ca="1" si="246"/>
        <v>45100</v>
      </c>
      <c r="N375" s="133">
        <f t="shared" ca="1" si="246"/>
        <v>27917</v>
      </c>
      <c r="O375" s="133">
        <f t="shared" ref="O375:O383" ca="1" si="247">IF(L375&gt;0,N375*100/L375,0)</f>
        <v>61.900221729490021</v>
      </c>
      <c r="P375" s="133">
        <f t="shared" ref="P375:P383" ca="1" si="248">IF(M375&gt;0,N375*100/M375,0)</f>
        <v>61.900221729490021</v>
      </c>
      <c r="Q375" s="133">
        <f t="shared" ref="Q375:S375" ca="1" si="249">Q376+Q377</f>
        <v>50000</v>
      </c>
      <c r="R375" s="133">
        <f t="shared" ca="1" si="249"/>
        <v>9375</v>
      </c>
      <c r="S375" s="133">
        <f t="shared" ca="1" si="249"/>
        <v>2480</v>
      </c>
      <c r="T375" s="133">
        <f t="shared" ref="T375:T383" ca="1" si="250">IF(Q375&gt;0,S375*100/Q375,0)</f>
        <v>4.96</v>
      </c>
      <c r="U375" s="133">
        <f t="shared" ref="U375:U383" ca="1" si="251">IF(R375&gt;0,S375*100/R375,0)</f>
        <v>26.453333333333333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45100</v>
      </c>
      <c r="M377" s="47">
        <f t="shared" ca="1" si="252"/>
        <v>45100</v>
      </c>
      <c r="N377" s="47">
        <f t="shared" ca="1" si="252"/>
        <v>27917</v>
      </c>
      <c r="O377" s="47">
        <f t="shared" ca="1" si="247"/>
        <v>61.900221729490021</v>
      </c>
      <c r="P377" s="47">
        <f t="shared" ca="1" si="248"/>
        <v>61.900221729490021</v>
      </c>
      <c r="Q377" s="47">
        <f t="shared" ca="1" si="253"/>
        <v>50000</v>
      </c>
      <c r="R377" s="47">
        <f t="shared" ca="1" si="253"/>
        <v>9375</v>
      </c>
      <c r="S377" s="47">
        <f t="shared" ca="1" si="253"/>
        <v>2480</v>
      </c>
      <c r="T377" s="47">
        <f t="shared" ca="1" si="250"/>
        <v>4.96</v>
      </c>
      <c r="U377" s="47">
        <f t="shared" ca="1" si="251"/>
        <v>26.453333333333333</v>
      </c>
    </row>
    <row r="378" spans="1:21" ht="18.75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45100</v>
      </c>
      <c r="M378" s="47">
        <f t="shared" ca="1" si="254"/>
        <v>45100</v>
      </c>
      <c r="N378" s="47">
        <f t="shared" ca="1" si="254"/>
        <v>27917</v>
      </c>
      <c r="O378" s="47">
        <f t="shared" ca="1" si="247"/>
        <v>61.900221729490021</v>
      </c>
      <c r="P378" s="47">
        <f t="shared" ca="1" si="248"/>
        <v>61.900221729490021</v>
      </c>
      <c r="Q378" s="47">
        <f t="shared" ref="Q378:S378" ca="1" si="255">Q379+Q380</f>
        <v>50000</v>
      </c>
      <c r="R378" s="47">
        <f t="shared" ca="1" si="255"/>
        <v>9375</v>
      </c>
      <c r="S378" s="47">
        <f t="shared" ca="1" si="255"/>
        <v>2480</v>
      </c>
      <c r="T378" s="47">
        <f t="shared" ca="1" si="250"/>
        <v>4.96</v>
      </c>
      <c r="U378" s="47">
        <f t="shared" ca="1" si="251"/>
        <v>26.453333333333333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IFERROR(__xludf.DUMMYFUNCTION("IMPORTRANGE(""https://docs.google.com/spreadsheets/d/1-uDff_7J0KD5mKrp0Vvzr7lt3OU09vwQwhkpOPPYv2Y/edit?usp=sharing"",""งบพรบ!IL81"")"),27917)</f>
        <v>27917</v>
      </c>
      <c r="O380" s="47">
        <f t="shared" ca="1" si="247"/>
        <v>61.900221729490021</v>
      </c>
      <c r="P380" s="47">
        <f t="shared" ca="1" si="248"/>
        <v>61.900221729490021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IFERROR(__xludf.DUMMYFUNCTION("IMPORTRANGE(""https://docs.google.com/spreadsheets/d/1ItG2mGa2ceCfYo0BwxsXqNm01IGEUdYcSSLTEv9YCik/edit?usp=sharing"",""เบิกจ่ายกองทุน!BY81"")"),2480)</f>
        <v>2480</v>
      </c>
      <c r="T380" s="47">
        <f t="shared" ca="1" si="250"/>
        <v>4.96</v>
      </c>
      <c r="U380" s="47">
        <f t="shared" ca="1" si="251"/>
        <v>26.453333333333333</v>
      </c>
    </row>
    <row r="381" spans="1:21" ht="18.75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x14ac:dyDescent="0.3">
      <c r="A384" s="139"/>
      <c r="B384" s="140"/>
      <c r="C384" s="409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v>0</v>
      </c>
      <c r="J385" s="372">
        <f ca="1">IFERROR(__xludf.DUMMYFUNCTION("IMPORTRANGE(""https://docs.google.com/spreadsheets/d/1w5rwWK1o49a35cNtocGL0gxDwhFSTZUQu90BiH9_zqM/edit?usp=sharing"",""RTK!H81"")"),10)</f>
        <v>10</v>
      </c>
      <c r="K385" s="47">
        <f t="shared" ref="K385:K388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IFERROR(__xludf.DUMMYFUNCTION("IMPORTRANGE(""https://docs.google.com/spreadsheets/d/1w5rwWK1o49a35cNtocGL0gxDwhFSTZUQu90BiH9_zqM/edit?usp=sharing"",""RTK!G81"")"),150)</f>
        <v>150</v>
      </c>
      <c r="J386" s="372">
        <f ca="1">IFERROR(__xludf.DUMMYFUNCTION("IMPORTRANGE(""https://docs.google.com/spreadsheets/d/1w5rwWK1o49a35cNtocGL0gxDwhFSTZUQu90BiH9_zqM/edit?usp=sharing"",""RTK!I81"")"),104)</f>
        <v>104</v>
      </c>
      <c r="K386" s="47">
        <f t="shared" ca="1" si="258"/>
        <v>69.333333333333329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741"/>
      <c r="B387" s="347"/>
      <c r="C387" s="347"/>
      <c r="D387" s="347"/>
      <c r="E387" s="348" t="s">
        <v>159</v>
      </c>
      <c r="F387" s="347"/>
      <c r="G387" s="349"/>
      <c r="H387" s="350" t="s">
        <v>34</v>
      </c>
      <c r="I387" s="351">
        <v>0</v>
      </c>
      <c r="J387" s="351">
        <f ca="1">IFERROR(__xludf.DUMMYFUNCTION("IMPORTRANGE(""https://docs.google.com/spreadsheets/d/1w5rwWK1o49a35cNtocGL0gxDwhFSTZUQu90BiH9_zqM/edit?usp=sharing"",""RTK!L81"")"),0)</f>
        <v>0</v>
      </c>
      <c r="K387" s="352">
        <f t="shared" si="258"/>
        <v>0</v>
      </c>
      <c r="L387" s="742"/>
      <c r="M387" s="353"/>
      <c r="N387" s="353"/>
      <c r="O387" s="353"/>
      <c r="P387" s="353"/>
      <c r="Q387" s="353"/>
      <c r="R387" s="353"/>
      <c r="S387" s="353"/>
      <c r="T387" s="353"/>
      <c r="U387" s="353"/>
    </row>
    <row r="388" spans="1:21" ht="18.75" hidden="1" x14ac:dyDescent="0.25">
      <c r="A388" s="741"/>
      <c r="B388" s="347"/>
      <c r="C388" s="347"/>
      <c r="D388" s="347"/>
      <c r="E388" s="347"/>
      <c r="F388" s="347"/>
      <c r="G388" s="349"/>
      <c r="H388" s="350" t="s">
        <v>46</v>
      </c>
      <c r="I388" s="351">
        <f ca="1">IFERROR(__xludf.DUMMYFUNCTION("IMPORTRANGE(""https://docs.google.com/spreadsheets/d/1w5rwWK1o49a35cNtocGL0gxDwhFSTZUQu90BiH9_zqM/edit?usp=sharing"",""RTK!K81"")"),0)</f>
        <v>0</v>
      </c>
      <c r="J388" s="351">
        <f ca="1">IFERROR(__xludf.DUMMYFUNCTION("IMPORTRANGE(""https://docs.google.com/spreadsheets/d/1w5rwWK1o49a35cNtocGL0gxDwhFSTZUQu90BiH9_zqM/edit?usp=sharing"",""RTK!M81"")"),0)</f>
        <v>0</v>
      </c>
      <c r="K388" s="352">
        <f t="shared" ca="1" si="258"/>
        <v>0</v>
      </c>
      <c r="L388" s="742"/>
      <c r="M388" s="353"/>
      <c r="N388" s="353"/>
      <c r="O388" s="353"/>
      <c r="P388" s="353"/>
      <c r="Q388" s="353"/>
      <c r="R388" s="353"/>
      <c r="S388" s="353"/>
      <c r="T388" s="353"/>
      <c r="U388" s="353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/>
      <c r="J389" s="255"/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/>
      <c r="J390" s="356"/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0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21550</v>
      </c>
      <c r="M413" s="133">
        <f t="shared" ca="1" si="273"/>
        <v>21550</v>
      </c>
      <c r="N413" s="133">
        <f t="shared" ca="1" si="273"/>
        <v>0</v>
      </c>
      <c r="O413" s="133">
        <f t="shared" ref="O413:O421" ca="1" si="274">IF(L413&gt;0,N413*100/L413,0)</f>
        <v>0</v>
      </c>
      <c r="P413" s="133">
        <f t="shared" ref="P413:P421" ca="1" si="275">IF(M413&gt;0,N413*100/M413,0)</f>
        <v>0</v>
      </c>
      <c r="Q413" s="133">
        <f t="shared" ref="Q413:S413" ca="1" si="276">Q414+Q415</f>
        <v>15200</v>
      </c>
      <c r="R413" s="133">
        <f t="shared" ca="1" si="276"/>
        <v>15200</v>
      </c>
      <c r="S413" s="133">
        <f t="shared" ca="1" si="276"/>
        <v>0</v>
      </c>
      <c r="T413" s="133">
        <f t="shared" ref="T413:T421" ca="1" si="277">IF(Q413&gt;0,S413*100/Q413,0)</f>
        <v>0</v>
      </c>
      <c r="U413" s="133">
        <f t="shared" ref="U413:U421" ca="1" si="278">IF(R413&gt;0,S413*100/R413,0)</f>
        <v>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21550</v>
      </c>
      <c r="M415" s="47">
        <f t="shared" ca="1" si="279"/>
        <v>21550</v>
      </c>
      <c r="N415" s="47">
        <f t="shared" ca="1" si="279"/>
        <v>0</v>
      </c>
      <c r="O415" s="47">
        <f t="shared" ca="1" si="274"/>
        <v>0</v>
      </c>
      <c r="P415" s="47">
        <f t="shared" ca="1" si="275"/>
        <v>0</v>
      </c>
      <c r="Q415" s="47">
        <f t="shared" ca="1" si="280"/>
        <v>15200</v>
      </c>
      <c r="R415" s="47">
        <f t="shared" ca="1" si="280"/>
        <v>15200</v>
      </c>
      <c r="S415" s="47">
        <f t="shared" ca="1" si="280"/>
        <v>0</v>
      </c>
      <c r="T415" s="47">
        <f t="shared" ca="1" si="277"/>
        <v>0</v>
      </c>
      <c r="U415" s="47">
        <f t="shared" ca="1" si="278"/>
        <v>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21550</v>
      </c>
      <c r="M416" s="47">
        <f t="shared" ca="1" si="281"/>
        <v>21550</v>
      </c>
      <c r="N416" s="47">
        <f t="shared" ca="1" si="281"/>
        <v>0</v>
      </c>
      <c r="O416" s="47">
        <f t="shared" ca="1" si="274"/>
        <v>0</v>
      </c>
      <c r="P416" s="47">
        <f t="shared" ca="1" si="275"/>
        <v>0</v>
      </c>
      <c r="Q416" s="47">
        <f t="shared" ref="Q416:S416" ca="1" si="282">Q417+Q418</f>
        <v>15200</v>
      </c>
      <c r="R416" s="47">
        <f t="shared" ca="1" si="282"/>
        <v>15200</v>
      </c>
      <c r="S416" s="47">
        <f t="shared" ca="1" si="282"/>
        <v>0</v>
      </c>
      <c r="T416" s="47">
        <f t="shared" ca="1" si="277"/>
        <v>0</v>
      </c>
      <c r="U416" s="47">
        <f t="shared" ca="1" si="278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IFERROR(__xludf.DUMMYFUNCTION("IMPORTRANGE(""https://docs.google.com/spreadsheets/d/1-uDff_7J0KD5mKrp0Vvzr7lt3OU09vwQwhkpOPPYv2Y/edit?usp=sharing"",""งบพรบ!IT81"")"),21550)</f>
        <v>21550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t="shared" ca="1" si="274"/>
        <v>0</v>
      </c>
      <c r="P418" s="47">
        <f t="shared" ca="1" si="275"/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t="shared" ca="1" si="277"/>
        <v>0</v>
      </c>
      <c r="U418" s="47">
        <f t="shared" ca="1" si="278"/>
        <v>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5">I440</f>
        <v>0</v>
      </c>
      <c r="J423" s="749">
        <f t="shared" si="285"/>
        <v>0</v>
      </c>
      <c r="K423" s="489">
        <f t="shared" ref="K423:K425" ca="1" si="286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IFERROR(__xludf.DUMMYFUNCTION("IMPORTRANGE(""https://docs.google.com/spreadsheets/d/1eHaY18a8A9IcSdp1K8H6x8fbOy06t2VsZHhMHf-1x7Y/edit?usp=sharing"",""แผน!HJ81"")"),0)</f>
        <v>0</v>
      </c>
      <c r="J424" s="751">
        <f t="shared" ref="J424:J425" si="287">J426+J428+J430</f>
        <v>0</v>
      </c>
      <c r="K424" s="133">
        <f t="shared" ca="1" si="286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IFERROR(__xludf.DUMMYFUNCTION("IMPORTRANGE(""https://docs.google.com/spreadsheets/d/1eHaY18a8A9IcSdp1K8H6x8fbOy06t2VsZHhMHf-1x7Y/edit?usp=sharing"",""แผน!HK81"")"),0)</f>
        <v>0</v>
      </c>
      <c r="J425" s="751">
        <f t="shared" si="287"/>
        <v>0</v>
      </c>
      <c r="K425" s="133">
        <f t="shared" ca="1" si="286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IFERROR(__xludf.DUMMYFUNCTION("IMPORTRANGE(""https://docs.google.com/spreadsheets/d/1eHaY18a8A9IcSdp1K8H6x8fbOy06t2VsZHhMHf-1x7Y/edit?usp=sharing"",""แผน!HJ81"")"),0)</f>
        <v>0</v>
      </c>
      <c r="J432" s="751">
        <f t="shared" ref="J432:J433" si="288">J434+J436+J438</f>
        <v>0</v>
      </c>
      <c r="K432" s="133">
        <f t="shared" ref="K432:K433" ca="1" si="289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IFERROR(__xludf.DUMMYFUNCTION("IMPORTRANGE(""https://docs.google.com/spreadsheets/d/1eHaY18a8A9IcSdp1K8H6x8fbOy06t2VsZHhMHf-1x7Y/edit?usp=sharing"",""แผน!HK81"")"),0)</f>
        <v>0</v>
      </c>
      <c r="J433" s="751">
        <f t="shared" si="288"/>
        <v>0</v>
      </c>
      <c r="K433" s="133">
        <f t="shared" ca="1" si="289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IFERROR(__xludf.DUMMYFUNCTION("IMPORTRANGE(""https://docs.google.com/spreadsheets/d/1eHaY18a8A9IcSdp1K8H6x8fbOy06t2VsZHhMHf-1x7Y/edit?usp=sharing"",""แผน!HJ81"")"),0)</f>
        <v>0</v>
      </c>
      <c r="J440" s="751">
        <f t="shared" ref="J440:J441" si="290">J442+J444+J446+J452+J454</f>
        <v>0</v>
      </c>
      <c r="K440" s="133">
        <f t="shared" ref="K440:K441" ca="1" si="291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IFERROR(__xludf.DUMMYFUNCTION("IMPORTRANGE(""https://docs.google.com/spreadsheets/d/1eHaY18a8A9IcSdp1K8H6x8fbOy06t2VsZHhMHf-1x7Y/edit?usp=sharing"",""แผน!HK81"")"),0)</f>
        <v>0</v>
      </c>
      <c r="J441" s="751">
        <f t="shared" si="290"/>
        <v>0</v>
      </c>
      <c r="K441" s="133">
        <f t="shared" ca="1" si="291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2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2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3">I457</f>
        <v>57.45</v>
      </c>
      <c r="J456" s="754">
        <f t="shared" si="293"/>
        <v>0</v>
      </c>
      <c r="K456" s="489">
        <f t="shared" ref="K456:K458" ca="1" si="294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IFERROR(__xludf.DUMMYFUNCTION("IMPORTRANGE(""https://docs.google.com/spreadsheets/d/1eHaY18a8A9IcSdp1K8H6x8fbOy06t2VsZHhMHf-1x7Y/edit?usp=sharing"",""แผน!HL81"")"),57.45)</f>
        <v>57.45</v>
      </c>
      <c r="J457" s="751">
        <f t="shared" ref="J457:J458" si="295">J459+J467+J473</f>
        <v>0</v>
      </c>
      <c r="K457" s="133">
        <f t="shared" ca="1" si="294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IFERROR(__xludf.DUMMYFUNCTION("IMPORTRANGE(""https://docs.google.com/spreadsheets/d/1eHaY18a8A9IcSdp1K8H6x8fbOy06t2VsZHhMHf-1x7Y/edit?usp=sharing"",""แผน!HM81"")"),25)</f>
        <v>25</v>
      </c>
      <c r="J458" s="751">
        <f t="shared" si="295"/>
        <v>0</v>
      </c>
      <c r="K458" s="133">
        <f t="shared" ca="1" si="294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6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6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7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7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8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9">J478+J480</f>
        <v>0</v>
      </c>
      <c r="K476" s="764">
        <f t="shared" si="298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9"/>
        <v>0</v>
      </c>
      <c r="K477" s="764">
        <f t="shared" si="298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300">J480</f>
        <v>0</v>
      </c>
      <c r="J484" s="763">
        <f t="shared" ref="J484:J485" si="301">J486+J488+J490</f>
        <v>0</v>
      </c>
      <c r="K484" s="764">
        <f t="shared" ref="K484:K485" si="302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300"/>
        <v>0</v>
      </c>
      <c r="J485" s="763">
        <f t="shared" si="301"/>
        <v>0</v>
      </c>
      <c r="K485" s="764">
        <f t="shared" si="302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3">I503</f>
        <v>0</v>
      </c>
      <c r="J492" s="321">
        <f t="shared" ca="1" si="303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4">L494+L495</f>
        <v>0</v>
      </c>
      <c r="M493" s="133">
        <f t="shared" ca="1" si="304"/>
        <v>0</v>
      </c>
      <c r="N493" s="133">
        <f t="shared" ca="1" si="304"/>
        <v>0</v>
      </c>
      <c r="O493" s="133">
        <f t="shared" ref="O493:O501" ca="1" si="305">IF(L493&gt;0,N493*100/L493,0)</f>
        <v>0</v>
      </c>
      <c r="P493" s="133">
        <f t="shared" ref="P493:P501" ca="1" si="306">IF(M493&gt;0,N493*100/M493,0)</f>
        <v>0</v>
      </c>
      <c r="Q493" s="133">
        <f t="shared" ref="Q493:S493" ca="1" si="307">Q494+Q495</f>
        <v>0</v>
      </c>
      <c r="R493" s="133">
        <f t="shared" ca="1" si="307"/>
        <v>0</v>
      </c>
      <c r="S493" s="133">
        <f t="shared" ca="1" si="307"/>
        <v>0</v>
      </c>
      <c r="T493" s="133">
        <f t="shared" ref="T493:T501" ca="1" si="308">IF(Q493&gt;0,S493*100/Q493,0)</f>
        <v>0</v>
      </c>
      <c r="U493" s="133">
        <f t="shared" ref="U493:U501" ca="1" si="309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10">L497+L500</f>
        <v>0</v>
      </c>
      <c r="M494" s="49">
        <f t="shared" si="310"/>
        <v>0</v>
      </c>
      <c r="N494" s="49">
        <f t="shared" si="310"/>
        <v>0</v>
      </c>
      <c r="O494" s="49">
        <f t="shared" si="305"/>
        <v>0</v>
      </c>
      <c r="P494" s="49">
        <f t="shared" si="306"/>
        <v>0</v>
      </c>
      <c r="Q494" s="49">
        <f t="shared" ref="Q494:S495" si="311">Q497+Q500</f>
        <v>0</v>
      </c>
      <c r="R494" s="49">
        <f t="shared" si="311"/>
        <v>0</v>
      </c>
      <c r="S494" s="49">
        <f t="shared" si="311"/>
        <v>0</v>
      </c>
      <c r="T494" s="49">
        <f t="shared" si="308"/>
        <v>0</v>
      </c>
      <c r="U494" s="49">
        <f t="shared" si="309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10"/>
        <v>0</v>
      </c>
      <c r="M495" s="47">
        <f t="shared" ca="1" si="310"/>
        <v>0</v>
      </c>
      <c r="N495" s="47">
        <f t="shared" ca="1" si="310"/>
        <v>0</v>
      </c>
      <c r="O495" s="47">
        <f t="shared" ca="1" si="305"/>
        <v>0</v>
      </c>
      <c r="P495" s="47">
        <f t="shared" ca="1" si="306"/>
        <v>0</v>
      </c>
      <c r="Q495" s="47">
        <f t="shared" ca="1" si="311"/>
        <v>0</v>
      </c>
      <c r="R495" s="47">
        <f t="shared" ca="1" si="311"/>
        <v>0</v>
      </c>
      <c r="S495" s="47">
        <f t="shared" ca="1" si="311"/>
        <v>0</v>
      </c>
      <c r="T495" s="47">
        <f t="shared" ca="1" si="308"/>
        <v>0</v>
      </c>
      <c r="U495" s="47">
        <f t="shared" ca="1" si="309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2">L497+L498</f>
        <v>0</v>
      </c>
      <c r="M496" s="47">
        <f t="shared" ca="1" si="312"/>
        <v>0</v>
      </c>
      <c r="N496" s="47">
        <f t="shared" ca="1" si="312"/>
        <v>0</v>
      </c>
      <c r="O496" s="47">
        <f t="shared" ca="1" si="305"/>
        <v>0</v>
      </c>
      <c r="P496" s="47">
        <f t="shared" ca="1" si="306"/>
        <v>0</v>
      </c>
      <c r="Q496" s="47">
        <f t="shared" ref="Q496:S496" ca="1" si="313">Q497+Q498</f>
        <v>0</v>
      </c>
      <c r="R496" s="47">
        <f t="shared" ca="1" si="313"/>
        <v>0</v>
      </c>
      <c r="S496" s="47">
        <f t="shared" ca="1" si="313"/>
        <v>0</v>
      </c>
      <c r="T496" s="47">
        <f t="shared" ca="1" si="308"/>
        <v>0</v>
      </c>
      <c r="U496" s="47">
        <f t="shared" ca="1" si="309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5"/>
        <v>0</v>
      </c>
      <c r="P497" s="49">
        <f t="shared" si="306"/>
        <v>0</v>
      </c>
      <c r="Q497" s="49">
        <v>0</v>
      </c>
      <c r="R497" s="49">
        <v>0</v>
      </c>
      <c r="S497" s="49">
        <v>0</v>
      </c>
      <c r="T497" s="49">
        <f t="shared" si="308"/>
        <v>0</v>
      </c>
      <c r="U497" s="49">
        <f t="shared" si="309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t="shared" ca="1" si="305"/>
        <v>0</v>
      </c>
      <c r="P498" s="47">
        <f t="shared" ca="1" si="306"/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t="shared" ca="1" si="308"/>
        <v>0</v>
      </c>
      <c r="U498" s="47">
        <f t="shared" ca="1" si="309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4">L500+L501</f>
        <v>0</v>
      </c>
      <c r="M499" s="47">
        <f t="shared" ca="1" si="314"/>
        <v>0</v>
      </c>
      <c r="N499" s="47">
        <f t="shared" ca="1" si="314"/>
        <v>0</v>
      </c>
      <c r="O499" s="47">
        <f t="shared" ca="1" si="305"/>
        <v>0</v>
      </c>
      <c r="P499" s="47">
        <f t="shared" ca="1" si="306"/>
        <v>0</v>
      </c>
      <c r="Q499" s="47">
        <f t="shared" ref="Q499:S499" si="315">Q500+Q501</f>
        <v>0</v>
      </c>
      <c r="R499" s="47">
        <f t="shared" si="315"/>
        <v>0</v>
      </c>
      <c r="S499" s="47">
        <f t="shared" si="315"/>
        <v>0</v>
      </c>
      <c r="T499" s="47">
        <f t="shared" si="308"/>
        <v>0</v>
      </c>
      <c r="U499" s="47">
        <f t="shared" si="309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5"/>
        <v>0</v>
      </c>
      <c r="P500" s="49">
        <f t="shared" si="306"/>
        <v>0</v>
      </c>
      <c r="Q500" s="49">
        <v>0</v>
      </c>
      <c r="R500" s="49">
        <v>0</v>
      </c>
      <c r="S500" s="49">
        <v>0</v>
      </c>
      <c r="T500" s="49">
        <f t="shared" si="308"/>
        <v>0</v>
      </c>
      <c r="U500" s="49">
        <f t="shared" si="309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t="shared" ca="1" si="305"/>
        <v>0</v>
      </c>
      <c r="P501" s="47">
        <f t="shared" ca="1" si="306"/>
        <v>0</v>
      </c>
      <c r="Q501" s="47">
        <v>0</v>
      </c>
      <c r="R501" s="47">
        <v>0</v>
      </c>
      <c r="S501" s="47">
        <v>0</v>
      </c>
      <c r="T501" s="47">
        <f t="shared" si="308"/>
        <v>0</v>
      </c>
      <c r="U501" s="47">
        <f t="shared" si="309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IFERROR(__xludf.DUMMYFUNCTION("IMPORTRANGE(""https://docs.google.com/spreadsheets/d/1eHaY18a8A9IcSdp1K8H6x8fbOy06t2VsZHhMHf-1x7Y/edit?usp=sharing"",""แผน!GX81"")"),0)</f>
        <v>0</v>
      </c>
      <c r="J503" s="371">
        <f ca="1">IF(AND(J504=I504,J505=I505,J506=I506,J507=I507),I503,0)</f>
        <v>0</v>
      </c>
      <c r="K503" s="133">
        <f t="shared" ref="K503:K509" ca="1" si="316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IFERROR(__xludf.DUMMYFUNCTION("IMPORTRANGE(""https://docs.google.com/spreadsheets/d/1eHaY18a8A9IcSdp1K8H6x8fbOy06t2VsZHhMHf-1x7Y/edit?usp=sharing"",""แผน!GY81"")"),0)</f>
        <v>0</v>
      </c>
      <c r="J504" s="169">
        <v>0</v>
      </c>
      <c r="K504" s="47">
        <f t="shared" ca="1" si="316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IFERROR(__xludf.DUMMYFUNCTION("IMPORTRANGE(""https://docs.google.com/spreadsheets/d/1eHaY18a8A9IcSdp1K8H6x8fbOy06t2VsZHhMHf-1x7Y/edit?usp=sharing"",""แผน!GZ81"")"),0)</f>
        <v>0</v>
      </c>
      <c r="J505" s="169">
        <v>0</v>
      </c>
      <c r="K505" s="47">
        <f t="shared" ca="1" si="316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IFERROR(__xludf.DUMMYFUNCTION("IMPORTRANGE(""https://docs.google.com/spreadsheets/d/1eHaY18a8A9IcSdp1K8H6x8fbOy06t2VsZHhMHf-1x7Y/edit?usp=sharing"",""แผน!HA81"")"),0)</f>
        <v>0</v>
      </c>
      <c r="J506" s="169">
        <v>0</v>
      </c>
      <c r="K506" s="47">
        <f t="shared" ca="1" si="316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IFERROR(__xludf.DUMMYFUNCTION("IMPORTRANGE(""https://docs.google.com/spreadsheets/d/1eHaY18a8A9IcSdp1K8H6x8fbOy06t2VsZHhMHf-1x7Y/edit?usp=sharing"",""แผน!HB81"")"),0)</f>
        <v>0</v>
      </c>
      <c r="J507" s="169">
        <v>0</v>
      </c>
      <c r="K507" s="47">
        <f t="shared" ca="1" si="316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6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IFERROR(__xludf.DUMMYFUNCTION("IMPORTRANGE(""https://docs.google.com/spreadsheets/d/1eHaY18a8A9IcSdp1K8H6x8fbOy06t2VsZHhMHf-1x7Y/edit?usp=sharing"",""แผน!HC81"")"),0)</f>
        <v>0</v>
      </c>
      <c r="J509" s="378">
        <v>0</v>
      </c>
      <c r="K509" s="111">
        <f t="shared" ca="1" si="316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850"/>
      <c r="M510" s="851"/>
      <c r="N510" s="851"/>
      <c r="O510" s="851"/>
      <c r="P510" s="851"/>
      <c r="Q510" s="851"/>
      <c r="R510" s="851"/>
      <c r="S510" s="851"/>
      <c r="T510" s="851"/>
      <c r="U510" s="851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7">I524</f>
        <v>0</v>
      </c>
      <c r="J512" s="855">
        <f t="shared" si="317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8">L514+L515</f>
        <v>0</v>
      </c>
      <c r="M513" s="133">
        <f t="shared" ca="1" si="318"/>
        <v>0</v>
      </c>
      <c r="N513" s="133">
        <f t="shared" ca="1" si="318"/>
        <v>0</v>
      </c>
      <c r="O513" s="133">
        <f t="shared" ref="O513:O521" ca="1" si="319">IF(L513&gt;0,N513*100/L513,0)</f>
        <v>0</v>
      </c>
      <c r="P513" s="133">
        <f t="shared" ref="P513:P521" ca="1" si="320">IF(M513&gt;0,N513*100/M513,0)</f>
        <v>0</v>
      </c>
      <c r="Q513" s="133">
        <f t="shared" ref="Q513:S513" si="321">Q514+Q515</f>
        <v>0</v>
      </c>
      <c r="R513" s="133">
        <f t="shared" si="321"/>
        <v>0</v>
      </c>
      <c r="S513" s="133">
        <f t="shared" si="321"/>
        <v>0</v>
      </c>
      <c r="T513" s="133">
        <f t="shared" ref="T513:T521" si="322">IF(Q513&gt;0,S513*100/Q513,0)</f>
        <v>0</v>
      </c>
      <c r="U513" s="133">
        <f t="shared" ref="U513:U521" si="323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4">L517+L520</f>
        <v>0</v>
      </c>
      <c r="M514" s="49">
        <f t="shared" si="324"/>
        <v>0</v>
      </c>
      <c r="N514" s="49">
        <f t="shared" si="324"/>
        <v>0</v>
      </c>
      <c r="O514" s="49">
        <f t="shared" si="319"/>
        <v>0</v>
      </c>
      <c r="P514" s="49">
        <f t="shared" si="320"/>
        <v>0</v>
      </c>
      <c r="Q514" s="49">
        <f t="shared" ref="Q514:S515" si="325">Q517+Q520</f>
        <v>0</v>
      </c>
      <c r="R514" s="49">
        <f t="shared" si="325"/>
        <v>0</v>
      </c>
      <c r="S514" s="49">
        <f t="shared" si="325"/>
        <v>0</v>
      </c>
      <c r="T514" s="49">
        <f t="shared" si="322"/>
        <v>0</v>
      </c>
      <c r="U514" s="49">
        <f t="shared" si="323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4"/>
        <v>0</v>
      </c>
      <c r="M515" s="47">
        <f t="shared" ca="1" si="324"/>
        <v>0</v>
      </c>
      <c r="N515" s="47">
        <f t="shared" ca="1" si="324"/>
        <v>0</v>
      </c>
      <c r="O515" s="47">
        <f t="shared" ca="1" si="319"/>
        <v>0</v>
      </c>
      <c r="P515" s="47">
        <f t="shared" ca="1" si="320"/>
        <v>0</v>
      </c>
      <c r="Q515" s="47">
        <f t="shared" si="325"/>
        <v>0</v>
      </c>
      <c r="R515" s="47">
        <f t="shared" si="325"/>
        <v>0</v>
      </c>
      <c r="S515" s="47">
        <f t="shared" si="325"/>
        <v>0</v>
      </c>
      <c r="T515" s="47">
        <f t="shared" si="322"/>
        <v>0</v>
      </c>
      <c r="U515" s="47">
        <f t="shared" si="323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6">L517+L518</f>
        <v>0</v>
      </c>
      <c r="M516" s="47">
        <f t="shared" ca="1" si="326"/>
        <v>0</v>
      </c>
      <c r="N516" s="47">
        <f t="shared" ca="1" si="326"/>
        <v>0</v>
      </c>
      <c r="O516" s="47">
        <f t="shared" ca="1" si="319"/>
        <v>0</v>
      </c>
      <c r="P516" s="47">
        <f t="shared" ca="1" si="320"/>
        <v>0</v>
      </c>
      <c r="Q516" s="47">
        <f t="shared" ref="Q516:S516" si="327">Q517+Q518</f>
        <v>0</v>
      </c>
      <c r="R516" s="47">
        <f t="shared" si="327"/>
        <v>0</v>
      </c>
      <c r="S516" s="47">
        <f t="shared" si="327"/>
        <v>0</v>
      </c>
      <c r="T516" s="47">
        <f t="shared" si="322"/>
        <v>0</v>
      </c>
      <c r="U516" s="47">
        <f t="shared" si="323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9"/>
        <v>0</v>
      </c>
      <c r="P517" s="49">
        <f t="shared" si="320"/>
        <v>0</v>
      </c>
      <c r="Q517" s="49">
        <v>0</v>
      </c>
      <c r="R517" s="49">
        <v>0</v>
      </c>
      <c r="S517" s="49">
        <v>0</v>
      </c>
      <c r="T517" s="49">
        <f t="shared" si="322"/>
        <v>0</v>
      </c>
      <c r="U517" s="49">
        <f t="shared" si="323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t="shared" ca="1" si="319"/>
        <v>0</v>
      </c>
      <c r="P518" s="47">
        <f t="shared" ca="1" si="320"/>
        <v>0</v>
      </c>
      <c r="Q518" s="47">
        <v>0</v>
      </c>
      <c r="R518" s="47">
        <v>0</v>
      </c>
      <c r="S518" s="47">
        <v>0</v>
      </c>
      <c r="T518" s="47">
        <f t="shared" si="322"/>
        <v>0</v>
      </c>
      <c r="U518" s="47">
        <f t="shared" si="323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8">L520+L521</f>
        <v>0</v>
      </c>
      <c r="M519" s="47">
        <f t="shared" ca="1" si="328"/>
        <v>0</v>
      </c>
      <c r="N519" s="47">
        <f t="shared" ca="1" si="328"/>
        <v>0</v>
      </c>
      <c r="O519" s="47">
        <f t="shared" ca="1" si="319"/>
        <v>0</v>
      </c>
      <c r="P519" s="47">
        <f t="shared" ca="1" si="320"/>
        <v>0</v>
      </c>
      <c r="Q519" s="47">
        <f t="shared" ref="Q519:S519" si="329">Q520+Q521</f>
        <v>0</v>
      </c>
      <c r="R519" s="47">
        <f t="shared" si="329"/>
        <v>0</v>
      </c>
      <c r="S519" s="47">
        <f t="shared" si="329"/>
        <v>0</v>
      </c>
      <c r="T519" s="47">
        <f t="shared" si="322"/>
        <v>0</v>
      </c>
      <c r="U519" s="47">
        <f t="shared" si="323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9"/>
        <v>0</v>
      </c>
      <c r="P520" s="49">
        <f t="shared" si="320"/>
        <v>0</v>
      </c>
      <c r="Q520" s="49">
        <v>0</v>
      </c>
      <c r="R520" s="49">
        <v>0</v>
      </c>
      <c r="S520" s="49">
        <v>0</v>
      </c>
      <c r="T520" s="49">
        <f t="shared" si="322"/>
        <v>0</v>
      </c>
      <c r="U520" s="49">
        <f t="shared" si="323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t="shared" ca="1" si="319"/>
        <v>0</v>
      </c>
      <c r="P521" s="47">
        <f t="shared" ca="1" si="320"/>
        <v>0</v>
      </c>
      <c r="Q521" s="47">
        <v>0</v>
      </c>
      <c r="R521" s="47">
        <v>0</v>
      </c>
      <c r="S521" s="47">
        <v>0</v>
      </c>
      <c r="T521" s="47">
        <f t="shared" si="322"/>
        <v>0</v>
      </c>
      <c r="U521" s="47">
        <f t="shared" si="323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30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30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1">I545</f>
        <v>0</v>
      </c>
      <c r="J533" s="818">
        <f t="shared" si="331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2">L535+L536</f>
        <v>0</v>
      </c>
      <c r="M534" s="133">
        <f t="shared" ca="1" si="332"/>
        <v>0</v>
      </c>
      <c r="N534" s="133">
        <f t="shared" ca="1" si="332"/>
        <v>0</v>
      </c>
      <c r="O534" s="133">
        <f t="shared" ref="O534:O542" ca="1" si="333">IF(L534&gt;0,N534*100/L534,0)</f>
        <v>0</v>
      </c>
      <c r="P534" s="133">
        <f t="shared" ref="P534:P542" ca="1" si="334">IF(M534&gt;0,N534*100/M534,0)</f>
        <v>0</v>
      </c>
      <c r="Q534" s="133">
        <f t="shared" ref="Q534:S534" si="335">Q535+Q536</f>
        <v>0</v>
      </c>
      <c r="R534" s="133">
        <f t="shared" si="335"/>
        <v>0</v>
      </c>
      <c r="S534" s="133">
        <f t="shared" si="335"/>
        <v>0</v>
      </c>
      <c r="T534" s="133">
        <f t="shared" ref="T534:T542" si="336">IF(Q534&gt;0,S534*100/Q534,0)</f>
        <v>0</v>
      </c>
      <c r="U534" s="133">
        <f t="shared" ref="U534:U542" si="337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8">L538+L541</f>
        <v>0</v>
      </c>
      <c r="M535" s="49">
        <f t="shared" si="338"/>
        <v>0</v>
      </c>
      <c r="N535" s="49">
        <f t="shared" si="338"/>
        <v>0</v>
      </c>
      <c r="O535" s="49">
        <f t="shared" si="333"/>
        <v>0</v>
      </c>
      <c r="P535" s="49">
        <f t="shared" si="334"/>
        <v>0</v>
      </c>
      <c r="Q535" s="49">
        <f t="shared" ref="Q535:S536" si="339">Q538+Q541</f>
        <v>0</v>
      </c>
      <c r="R535" s="49">
        <f t="shared" si="339"/>
        <v>0</v>
      </c>
      <c r="S535" s="49">
        <f t="shared" si="339"/>
        <v>0</v>
      </c>
      <c r="T535" s="49">
        <f t="shared" si="336"/>
        <v>0</v>
      </c>
      <c r="U535" s="49">
        <f t="shared" si="337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8"/>
        <v>0</v>
      </c>
      <c r="M536" s="47">
        <f t="shared" ca="1" si="338"/>
        <v>0</v>
      </c>
      <c r="N536" s="47">
        <f t="shared" ca="1" si="338"/>
        <v>0</v>
      </c>
      <c r="O536" s="47">
        <f t="shared" ca="1" si="333"/>
        <v>0</v>
      </c>
      <c r="P536" s="47">
        <f t="shared" ca="1" si="334"/>
        <v>0</v>
      </c>
      <c r="Q536" s="47">
        <f t="shared" si="339"/>
        <v>0</v>
      </c>
      <c r="R536" s="47">
        <f t="shared" si="339"/>
        <v>0</v>
      </c>
      <c r="S536" s="47">
        <f t="shared" si="339"/>
        <v>0</v>
      </c>
      <c r="T536" s="47">
        <f t="shared" si="336"/>
        <v>0</v>
      </c>
      <c r="U536" s="47">
        <f t="shared" si="337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40">L538+L539</f>
        <v>0</v>
      </c>
      <c r="M537" s="47">
        <f t="shared" ca="1" si="340"/>
        <v>0</v>
      </c>
      <c r="N537" s="47">
        <f t="shared" ca="1" si="340"/>
        <v>0</v>
      </c>
      <c r="O537" s="47">
        <f t="shared" ca="1" si="333"/>
        <v>0</v>
      </c>
      <c r="P537" s="47">
        <f t="shared" ca="1" si="334"/>
        <v>0</v>
      </c>
      <c r="Q537" s="47">
        <f t="shared" ref="Q537:S537" si="341">Q538+Q539</f>
        <v>0</v>
      </c>
      <c r="R537" s="47">
        <f t="shared" si="341"/>
        <v>0</v>
      </c>
      <c r="S537" s="47">
        <f t="shared" si="341"/>
        <v>0</v>
      </c>
      <c r="T537" s="47">
        <f t="shared" si="336"/>
        <v>0</v>
      </c>
      <c r="U537" s="47">
        <f t="shared" si="337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3"/>
        <v>0</v>
      </c>
      <c r="P538" s="49">
        <f t="shared" si="334"/>
        <v>0</v>
      </c>
      <c r="Q538" s="49">
        <v>0</v>
      </c>
      <c r="R538" s="49">
        <v>0</v>
      </c>
      <c r="S538" s="49">
        <v>0</v>
      </c>
      <c r="T538" s="49">
        <f t="shared" si="336"/>
        <v>0</v>
      </c>
      <c r="U538" s="49">
        <f t="shared" si="337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t="shared" ca="1" si="333"/>
        <v>0</v>
      </c>
      <c r="P539" s="47">
        <f t="shared" ca="1" si="334"/>
        <v>0</v>
      </c>
      <c r="Q539" s="47">
        <v>0</v>
      </c>
      <c r="R539" s="47">
        <v>0</v>
      </c>
      <c r="S539" s="47">
        <v>0</v>
      </c>
      <c r="T539" s="47">
        <f t="shared" si="336"/>
        <v>0</v>
      </c>
      <c r="U539" s="47">
        <f t="shared" si="337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2">L541+L542</f>
        <v>0</v>
      </c>
      <c r="M540" s="47">
        <f t="shared" ca="1" si="342"/>
        <v>0</v>
      </c>
      <c r="N540" s="47">
        <f t="shared" ca="1" si="342"/>
        <v>0</v>
      </c>
      <c r="O540" s="47">
        <f t="shared" ca="1" si="333"/>
        <v>0</v>
      </c>
      <c r="P540" s="47">
        <f t="shared" ca="1" si="334"/>
        <v>0</v>
      </c>
      <c r="Q540" s="47">
        <f t="shared" ref="Q540:S540" si="343">Q541+Q542</f>
        <v>0</v>
      </c>
      <c r="R540" s="47">
        <f t="shared" si="343"/>
        <v>0</v>
      </c>
      <c r="S540" s="47">
        <f t="shared" si="343"/>
        <v>0</v>
      </c>
      <c r="T540" s="47">
        <f t="shared" si="336"/>
        <v>0</v>
      </c>
      <c r="U540" s="47">
        <f t="shared" si="337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3"/>
        <v>0</v>
      </c>
      <c r="P541" s="49">
        <f t="shared" si="334"/>
        <v>0</v>
      </c>
      <c r="Q541" s="49">
        <v>0</v>
      </c>
      <c r="R541" s="49">
        <v>0</v>
      </c>
      <c r="S541" s="49">
        <v>0</v>
      </c>
      <c r="T541" s="49">
        <f t="shared" si="336"/>
        <v>0</v>
      </c>
      <c r="U541" s="49">
        <f t="shared" si="337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t="shared" ca="1" si="333"/>
        <v>0</v>
      </c>
      <c r="P542" s="47">
        <f t="shared" ca="1" si="334"/>
        <v>0</v>
      </c>
      <c r="Q542" s="47">
        <v>0</v>
      </c>
      <c r="R542" s="47">
        <v>0</v>
      </c>
      <c r="S542" s="47">
        <v>0</v>
      </c>
      <c r="T542" s="47">
        <f t="shared" si="336"/>
        <v>0</v>
      </c>
      <c r="U542" s="47">
        <f t="shared" si="337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4">I566</f>
        <v>0</v>
      </c>
      <c r="J554" s="818">
        <f t="shared" si="344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5">L556+L557</f>
        <v>0</v>
      </c>
      <c r="M555" s="133">
        <f t="shared" ca="1" si="345"/>
        <v>0</v>
      </c>
      <c r="N555" s="133">
        <f t="shared" ca="1" si="345"/>
        <v>0</v>
      </c>
      <c r="O555" s="133">
        <f t="shared" ref="O555:O563" ca="1" si="346">IF(L555&gt;0,N555*100/L555,0)</f>
        <v>0</v>
      </c>
      <c r="P555" s="133">
        <f t="shared" ref="P555:P563" ca="1" si="347">IF(M555&gt;0,N555*100/M555,0)</f>
        <v>0</v>
      </c>
      <c r="Q555" s="133">
        <f t="shared" ref="Q555:S555" si="348">Q556+Q557</f>
        <v>0</v>
      </c>
      <c r="R555" s="133">
        <f t="shared" si="348"/>
        <v>0</v>
      </c>
      <c r="S555" s="133">
        <f t="shared" si="348"/>
        <v>0</v>
      </c>
      <c r="T555" s="133">
        <f t="shared" ref="T555:T563" si="349">IF(Q555&gt;0,S555*100/Q555,0)</f>
        <v>0</v>
      </c>
      <c r="U555" s="133">
        <f t="shared" ref="U555:U563" si="350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1">L559+L562</f>
        <v>0</v>
      </c>
      <c r="M556" s="49">
        <f t="shared" si="351"/>
        <v>0</v>
      </c>
      <c r="N556" s="49">
        <f t="shared" si="351"/>
        <v>0</v>
      </c>
      <c r="O556" s="49">
        <f t="shared" si="346"/>
        <v>0</v>
      </c>
      <c r="P556" s="49">
        <f t="shared" si="347"/>
        <v>0</v>
      </c>
      <c r="Q556" s="49">
        <f t="shared" ref="Q556:S557" si="352">Q559+Q562</f>
        <v>0</v>
      </c>
      <c r="R556" s="49">
        <f t="shared" si="352"/>
        <v>0</v>
      </c>
      <c r="S556" s="49">
        <f t="shared" si="352"/>
        <v>0</v>
      </c>
      <c r="T556" s="49">
        <f t="shared" si="349"/>
        <v>0</v>
      </c>
      <c r="U556" s="49">
        <f t="shared" si="350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1"/>
        <v>0</v>
      </c>
      <c r="M557" s="47">
        <f t="shared" ca="1" si="351"/>
        <v>0</v>
      </c>
      <c r="N557" s="47">
        <f t="shared" ca="1" si="351"/>
        <v>0</v>
      </c>
      <c r="O557" s="47">
        <f t="shared" ca="1" si="346"/>
        <v>0</v>
      </c>
      <c r="P557" s="47">
        <f t="shared" ca="1" si="347"/>
        <v>0</v>
      </c>
      <c r="Q557" s="47">
        <f t="shared" si="352"/>
        <v>0</v>
      </c>
      <c r="R557" s="47">
        <f t="shared" si="352"/>
        <v>0</v>
      </c>
      <c r="S557" s="47">
        <f t="shared" si="352"/>
        <v>0</v>
      </c>
      <c r="T557" s="47">
        <f t="shared" si="349"/>
        <v>0</v>
      </c>
      <c r="U557" s="47">
        <f t="shared" si="350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3">L559+L560</f>
        <v>0</v>
      </c>
      <c r="M558" s="47">
        <f t="shared" ca="1" si="353"/>
        <v>0</v>
      </c>
      <c r="N558" s="47">
        <f t="shared" ca="1" si="353"/>
        <v>0</v>
      </c>
      <c r="O558" s="47">
        <f t="shared" ca="1" si="346"/>
        <v>0</v>
      </c>
      <c r="P558" s="47">
        <f t="shared" ca="1" si="347"/>
        <v>0</v>
      </c>
      <c r="Q558" s="47">
        <f t="shared" ref="Q558:S558" si="354">Q559+Q560</f>
        <v>0</v>
      </c>
      <c r="R558" s="47">
        <f t="shared" si="354"/>
        <v>0</v>
      </c>
      <c r="S558" s="47">
        <f t="shared" si="354"/>
        <v>0</v>
      </c>
      <c r="T558" s="47">
        <f t="shared" si="349"/>
        <v>0</v>
      </c>
      <c r="U558" s="47">
        <f t="shared" si="350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6"/>
        <v>0</v>
      </c>
      <c r="P559" s="49">
        <f t="shared" si="347"/>
        <v>0</v>
      </c>
      <c r="Q559" s="49">
        <v>0</v>
      </c>
      <c r="R559" s="49">
        <v>0</v>
      </c>
      <c r="S559" s="49">
        <v>0</v>
      </c>
      <c r="T559" s="49">
        <f t="shared" si="349"/>
        <v>0</v>
      </c>
      <c r="U559" s="49">
        <f t="shared" si="350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t="shared" ca="1" si="346"/>
        <v>0</v>
      </c>
      <c r="P560" s="47">
        <f t="shared" ca="1" si="347"/>
        <v>0</v>
      </c>
      <c r="Q560" s="47">
        <v>0</v>
      </c>
      <c r="R560" s="47">
        <v>0</v>
      </c>
      <c r="S560" s="47">
        <v>0</v>
      </c>
      <c r="T560" s="47">
        <f t="shared" si="349"/>
        <v>0</v>
      </c>
      <c r="U560" s="47">
        <f t="shared" si="350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5">L562+L563</f>
        <v>0</v>
      </c>
      <c r="M561" s="47">
        <f t="shared" ca="1" si="355"/>
        <v>0</v>
      </c>
      <c r="N561" s="47">
        <f t="shared" ca="1" si="355"/>
        <v>0</v>
      </c>
      <c r="O561" s="47">
        <f t="shared" ca="1" si="346"/>
        <v>0</v>
      </c>
      <c r="P561" s="47">
        <f t="shared" ca="1" si="347"/>
        <v>0</v>
      </c>
      <c r="Q561" s="47">
        <f t="shared" ref="Q561:S561" si="356">Q562+Q563</f>
        <v>0</v>
      </c>
      <c r="R561" s="47">
        <f t="shared" si="356"/>
        <v>0</v>
      </c>
      <c r="S561" s="47">
        <f t="shared" si="356"/>
        <v>0</v>
      </c>
      <c r="T561" s="47">
        <f t="shared" si="349"/>
        <v>0</v>
      </c>
      <c r="U561" s="47">
        <f t="shared" si="350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6"/>
        <v>0</v>
      </c>
      <c r="P562" s="49">
        <f t="shared" si="347"/>
        <v>0</v>
      </c>
      <c r="Q562" s="49">
        <v>0</v>
      </c>
      <c r="R562" s="49">
        <v>0</v>
      </c>
      <c r="S562" s="49">
        <v>0</v>
      </c>
      <c r="T562" s="49">
        <f t="shared" si="349"/>
        <v>0</v>
      </c>
      <c r="U562" s="49">
        <f t="shared" si="350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t="shared" ca="1" si="346"/>
        <v>0</v>
      </c>
      <c r="P563" s="47">
        <f t="shared" ca="1" si="347"/>
        <v>0</v>
      </c>
      <c r="Q563" s="47">
        <v>0</v>
      </c>
      <c r="R563" s="47">
        <v>0</v>
      </c>
      <c r="S563" s="47">
        <v>0</v>
      </c>
      <c r="T563" s="47">
        <f t="shared" si="349"/>
        <v>0</v>
      </c>
      <c r="U563" s="47">
        <f t="shared" si="350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hidden="1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818">
        <f t="shared" ref="I575:J575" si="357">I587</f>
        <v>0</v>
      </c>
      <c r="J575" s="818">
        <f t="shared" si="357"/>
        <v>0</v>
      </c>
      <c r="K575" s="400">
        <f>IF(I575&gt;0,J575*100/I575,0)</f>
        <v>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hidden="1" x14ac:dyDescent="0.3">
      <c r="A576" s="129"/>
      <c r="B576" s="200"/>
      <c r="C576" s="19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8">L577+L578</f>
        <v>0</v>
      </c>
      <c r="M576" s="133">
        <f t="shared" ca="1" si="358"/>
        <v>0</v>
      </c>
      <c r="N576" s="133">
        <f t="shared" ca="1" si="358"/>
        <v>0</v>
      </c>
      <c r="O576" s="133">
        <f t="shared" ref="O576:O584" ca="1" si="359">IF(L576&gt;0,N576*100/L576,0)</f>
        <v>0</v>
      </c>
      <c r="P576" s="133">
        <f t="shared" ref="P576:P584" ca="1" si="360">IF(M576&gt;0,N576*100/M576,0)</f>
        <v>0</v>
      </c>
      <c r="Q576" s="133">
        <f t="shared" ref="Q576:S576" si="361">Q577+Q578</f>
        <v>0</v>
      </c>
      <c r="R576" s="133">
        <f t="shared" si="361"/>
        <v>0</v>
      </c>
      <c r="S576" s="133">
        <f t="shared" si="361"/>
        <v>0</v>
      </c>
      <c r="T576" s="133">
        <f t="shared" ref="T576:T584" si="362">IF(Q576&gt;0,S576*100/Q576,0)</f>
        <v>0</v>
      </c>
      <c r="U576" s="133">
        <f t="shared" ref="U576:U584" si="363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4">L580+L583</f>
        <v>0</v>
      </c>
      <c r="M577" s="49">
        <f t="shared" si="364"/>
        <v>0</v>
      </c>
      <c r="N577" s="49">
        <f t="shared" si="364"/>
        <v>0</v>
      </c>
      <c r="O577" s="49">
        <f t="shared" si="359"/>
        <v>0</v>
      </c>
      <c r="P577" s="49">
        <f t="shared" si="360"/>
        <v>0</v>
      </c>
      <c r="Q577" s="49">
        <f t="shared" ref="Q577:S578" si="365">Q580+Q583</f>
        <v>0</v>
      </c>
      <c r="R577" s="49">
        <f t="shared" si="365"/>
        <v>0</v>
      </c>
      <c r="S577" s="49">
        <f t="shared" si="365"/>
        <v>0</v>
      </c>
      <c r="T577" s="49">
        <f t="shared" si="362"/>
        <v>0</v>
      </c>
      <c r="U577" s="49">
        <f t="shared" si="363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4"/>
        <v>0</v>
      </c>
      <c r="M578" s="47">
        <f t="shared" ca="1" si="364"/>
        <v>0</v>
      </c>
      <c r="N578" s="47">
        <f t="shared" ca="1" si="364"/>
        <v>0</v>
      </c>
      <c r="O578" s="47">
        <f t="shared" ca="1" si="359"/>
        <v>0</v>
      </c>
      <c r="P578" s="47">
        <f t="shared" ca="1" si="360"/>
        <v>0</v>
      </c>
      <c r="Q578" s="47">
        <f t="shared" si="365"/>
        <v>0</v>
      </c>
      <c r="R578" s="47">
        <f t="shared" si="365"/>
        <v>0</v>
      </c>
      <c r="S578" s="47">
        <f t="shared" si="365"/>
        <v>0</v>
      </c>
      <c r="T578" s="47">
        <f t="shared" si="362"/>
        <v>0</v>
      </c>
      <c r="U578" s="47">
        <f t="shared" si="363"/>
        <v>0</v>
      </c>
    </row>
    <row r="579" spans="1:21" ht="18.75" hidden="1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6">L580+L581</f>
        <v>0</v>
      </c>
      <c r="M579" s="47">
        <f t="shared" ca="1" si="366"/>
        <v>0</v>
      </c>
      <c r="N579" s="47">
        <f t="shared" ca="1" si="366"/>
        <v>0</v>
      </c>
      <c r="O579" s="47">
        <f t="shared" ca="1" si="359"/>
        <v>0</v>
      </c>
      <c r="P579" s="47">
        <f t="shared" ca="1" si="360"/>
        <v>0</v>
      </c>
      <c r="Q579" s="47">
        <f t="shared" ref="Q579:S579" si="367">Q580+Q581</f>
        <v>0</v>
      </c>
      <c r="R579" s="47">
        <f t="shared" si="367"/>
        <v>0</v>
      </c>
      <c r="S579" s="47">
        <f t="shared" si="367"/>
        <v>0</v>
      </c>
      <c r="T579" s="47">
        <f t="shared" si="362"/>
        <v>0</v>
      </c>
      <c r="U579" s="47">
        <f t="shared" si="363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9"/>
        <v>0</v>
      </c>
      <c r="P580" s="49">
        <f t="shared" si="360"/>
        <v>0</v>
      </c>
      <c r="Q580" s="49">
        <v>0</v>
      </c>
      <c r="R580" s="49">
        <v>0</v>
      </c>
      <c r="S580" s="49">
        <v>0</v>
      </c>
      <c r="T580" s="49">
        <f t="shared" si="362"/>
        <v>0</v>
      </c>
      <c r="U580" s="49">
        <f t="shared" si="363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t="shared" ca="1" si="359"/>
        <v>0</v>
      </c>
      <c r="P581" s="47">
        <f t="shared" ca="1" si="360"/>
        <v>0</v>
      </c>
      <c r="Q581" s="47">
        <v>0</v>
      </c>
      <c r="R581" s="47">
        <v>0</v>
      </c>
      <c r="S581" s="47">
        <v>0</v>
      </c>
      <c r="T581" s="47">
        <f t="shared" si="362"/>
        <v>0</v>
      </c>
      <c r="U581" s="47">
        <f t="shared" si="363"/>
        <v>0</v>
      </c>
    </row>
    <row r="582" spans="1:21" ht="18.75" hidden="1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8">L583+L584</f>
        <v>0</v>
      </c>
      <c r="M582" s="47">
        <f t="shared" ca="1" si="368"/>
        <v>0</v>
      </c>
      <c r="N582" s="47">
        <f t="shared" ca="1" si="368"/>
        <v>0</v>
      </c>
      <c r="O582" s="47">
        <f t="shared" ca="1" si="359"/>
        <v>0</v>
      </c>
      <c r="P582" s="47">
        <f t="shared" ca="1" si="360"/>
        <v>0</v>
      </c>
      <c r="Q582" s="47">
        <f t="shared" ref="Q582:S582" si="369">Q583+Q584</f>
        <v>0</v>
      </c>
      <c r="R582" s="47">
        <f t="shared" si="369"/>
        <v>0</v>
      </c>
      <c r="S582" s="47">
        <f t="shared" si="369"/>
        <v>0</v>
      </c>
      <c r="T582" s="47">
        <f t="shared" si="362"/>
        <v>0</v>
      </c>
      <c r="U582" s="47">
        <f t="shared" si="363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9"/>
        <v>0</v>
      </c>
      <c r="P583" s="49">
        <f t="shared" si="360"/>
        <v>0</v>
      </c>
      <c r="Q583" s="49">
        <v>0</v>
      </c>
      <c r="R583" s="49">
        <v>0</v>
      </c>
      <c r="S583" s="49">
        <v>0</v>
      </c>
      <c r="T583" s="49">
        <f t="shared" si="362"/>
        <v>0</v>
      </c>
      <c r="U583" s="49">
        <f t="shared" si="363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t="shared" ca="1" si="359"/>
        <v>0</v>
      </c>
      <c r="P584" s="47">
        <f t="shared" ca="1" si="360"/>
        <v>0</v>
      </c>
      <c r="Q584" s="47">
        <v>0</v>
      </c>
      <c r="R584" s="47">
        <v>0</v>
      </c>
      <c r="S584" s="47">
        <v>0</v>
      </c>
      <c r="T584" s="47">
        <f t="shared" si="362"/>
        <v>0</v>
      </c>
      <c r="U584" s="47">
        <f t="shared" si="363"/>
        <v>0</v>
      </c>
    </row>
    <row r="585" spans="1:21" ht="19.5" hidden="1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2.75" hidden="1" x14ac:dyDescent="0.2">
      <c r="A586" s="250"/>
      <c r="B586" s="252"/>
      <c r="C586" s="251"/>
      <c r="D586" s="252"/>
      <c r="E586" s="251"/>
      <c r="F586" s="252"/>
      <c r="G586" s="253"/>
      <c r="H586" s="253"/>
      <c r="I586" s="255"/>
      <c r="J586" s="255"/>
      <c r="K586" s="256"/>
      <c r="L586" s="743"/>
      <c r="M586" s="256"/>
      <c r="N586" s="256"/>
      <c r="O586" s="256"/>
      <c r="P586" s="256"/>
      <c r="Q586" s="256"/>
      <c r="R586" s="256"/>
      <c r="S586" s="256"/>
      <c r="T586" s="256"/>
      <c r="U586" s="256"/>
    </row>
    <row r="587" spans="1:21" ht="12.75" hidden="1" x14ac:dyDescent="0.2">
      <c r="A587" s="250"/>
      <c r="B587" s="252"/>
      <c r="C587" s="251"/>
      <c r="D587" s="252"/>
      <c r="E587" s="251"/>
      <c r="F587" s="252"/>
      <c r="G587" s="253"/>
      <c r="H587" s="253"/>
      <c r="I587" s="255"/>
      <c r="J587" s="255"/>
      <c r="K587" s="256"/>
      <c r="L587" s="743"/>
      <c r="M587" s="256"/>
      <c r="N587" s="256"/>
      <c r="O587" s="256"/>
      <c r="P587" s="256"/>
      <c r="Q587" s="256"/>
      <c r="R587" s="256"/>
      <c r="S587" s="256"/>
      <c r="T587" s="256"/>
      <c r="U587" s="25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70">L600+L601</f>
        <v>0</v>
      </c>
      <c r="M599" s="133">
        <f t="shared" ca="1" si="370"/>
        <v>0</v>
      </c>
      <c r="N599" s="133">
        <f t="shared" ca="1" si="370"/>
        <v>0</v>
      </c>
      <c r="O599" s="133">
        <f t="shared" ref="O599:O607" ca="1" si="371">IF(L599&gt;0,N599*100/L599,0)</f>
        <v>0</v>
      </c>
      <c r="P599" s="133">
        <f t="shared" ref="P599:P607" ca="1" si="372">IF(M599&gt;0,N599*100/M599,0)</f>
        <v>0</v>
      </c>
      <c r="Q599" s="133">
        <f t="shared" ref="Q599:S599" ca="1" si="373">Q600+Q601</f>
        <v>0</v>
      </c>
      <c r="R599" s="133">
        <f t="shared" ca="1" si="373"/>
        <v>0</v>
      </c>
      <c r="S599" s="133">
        <f t="shared" ca="1" si="373"/>
        <v>0</v>
      </c>
      <c r="T599" s="133">
        <f t="shared" ref="T599:T607" ca="1" si="374">IF(Q599&gt;0,S599*100/Q599,0)</f>
        <v>0</v>
      </c>
      <c r="U599" s="133">
        <f t="shared" ref="U599:U607" ca="1" si="375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6">L603+L606</f>
        <v>0</v>
      </c>
      <c r="M600" s="49">
        <f t="shared" si="376"/>
        <v>0</v>
      </c>
      <c r="N600" s="49">
        <f t="shared" si="376"/>
        <v>0</v>
      </c>
      <c r="O600" s="49">
        <f t="shared" si="371"/>
        <v>0</v>
      </c>
      <c r="P600" s="49">
        <f t="shared" si="372"/>
        <v>0</v>
      </c>
      <c r="Q600" s="49">
        <f t="shared" ref="Q600:S601" si="377">Q603+Q606</f>
        <v>0</v>
      </c>
      <c r="R600" s="49">
        <f t="shared" si="377"/>
        <v>0</v>
      </c>
      <c r="S600" s="49">
        <f t="shared" si="377"/>
        <v>0</v>
      </c>
      <c r="T600" s="49">
        <f t="shared" si="374"/>
        <v>0</v>
      </c>
      <c r="U600" s="49">
        <f t="shared" si="375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6"/>
        <v>0</v>
      </c>
      <c r="M601" s="47">
        <f t="shared" ca="1" si="376"/>
        <v>0</v>
      </c>
      <c r="N601" s="47">
        <f t="shared" ca="1" si="376"/>
        <v>0</v>
      </c>
      <c r="O601" s="47">
        <f t="shared" ca="1" si="371"/>
        <v>0</v>
      </c>
      <c r="P601" s="47">
        <f t="shared" ca="1" si="372"/>
        <v>0</v>
      </c>
      <c r="Q601" s="47">
        <f t="shared" ca="1" si="377"/>
        <v>0</v>
      </c>
      <c r="R601" s="47">
        <f t="shared" ca="1" si="377"/>
        <v>0</v>
      </c>
      <c r="S601" s="47">
        <f t="shared" ca="1" si="377"/>
        <v>0</v>
      </c>
      <c r="T601" s="47">
        <f t="shared" ca="1" si="374"/>
        <v>0</v>
      </c>
      <c r="U601" s="47">
        <f t="shared" ca="1" si="375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8">L603+L604</f>
        <v>0</v>
      </c>
      <c r="M602" s="47">
        <f t="shared" ca="1" si="378"/>
        <v>0</v>
      </c>
      <c r="N602" s="47">
        <f t="shared" ca="1" si="378"/>
        <v>0</v>
      </c>
      <c r="O602" s="47">
        <f t="shared" ca="1" si="371"/>
        <v>0</v>
      </c>
      <c r="P602" s="47">
        <f t="shared" ca="1" si="372"/>
        <v>0</v>
      </c>
      <c r="Q602" s="47">
        <f t="shared" ref="Q602:S602" ca="1" si="379">Q603+Q604</f>
        <v>0</v>
      </c>
      <c r="R602" s="47">
        <f t="shared" ca="1" si="379"/>
        <v>0</v>
      </c>
      <c r="S602" s="47">
        <f t="shared" ca="1" si="379"/>
        <v>0</v>
      </c>
      <c r="T602" s="47">
        <f t="shared" ca="1" si="374"/>
        <v>0</v>
      </c>
      <c r="U602" s="47">
        <f t="shared" ca="1" si="375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1"/>
        <v>0</v>
      </c>
      <c r="P603" s="49">
        <f t="shared" si="372"/>
        <v>0</v>
      </c>
      <c r="Q603" s="49">
        <v>0</v>
      </c>
      <c r="R603" s="49">
        <v>0</v>
      </c>
      <c r="S603" s="49">
        <v>0</v>
      </c>
      <c r="T603" s="49">
        <f t="shared" si="374"/>
        <v>0</v>
      </c>
      <c r="U603" s="49">
        <f t="shared" si="375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t="shared" ca="1" si="371"/>
        <v>0</v>
      </c>
      <c r="P604" s="47">
        <f t="shared" ca="1" si="372"/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t="shared" ca="1" si="374"/>
        <v>0</v>
      </c>
      <c r="U604" s="47">
        <f t="shared" ca="1" si="375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80">L606+L607</f>
        <v>0</v>
      </c>
      <c r="M605" s="47">
        <f t="shared" ca="1" si="380"/>
        <v>0</v>
      </c>
      <c r="N605" s="47">
        <f t="shared" ca="1" si="380"/>
        <v>0</v>
      </c>
      <c r="O605" s="47">
        <f t="shared" ca="1" si="371"/>
        <v>0</v>
      </c>
      <c r="P605" s="47">
        <f t="shared" ca="1" si="372"/>
        <v>0</v>
      </c>
      <c r="Q605" s="47">
        <f t="shared" ref="Q605:S605" ca="1" si="381">Q606+Q607</f>
        <v>0</v>
      </c>
      <c r="R605" s="47">
        <f t="shared" ca="1" si="381"/>
        <v>0</v>
      </c>
      <c r="S605" s="47">
        <f t="shared" ca="1" si="381"/>
        <v>0</v>
      </c>
      <c r="T605" s="47">
        <f t="shared" ca="1" si="374"/>
        <v>0</v>
      </c>
      <c r="U605" s="47">
        <f t="shared" ca="1" si="375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1"/>
        <v>0</v>
      </c>
      <c r="P606" s="49">
        <f t="shared" si="372"/>
        <v>0</v>
      </c>
      <c r="Q606" s="49">
        <v>0</v>
      </c>
      <c r="R606" s="49">
        <v>0</v>
      </c>
      <c r="S606" s="49">
        <v>0</v>
      </c>
      <c r="T606" s="49">
        <f t="shared" si="374"/>
        <v>0</v>
      </c>
      <c r="U606" s="49">
        <f t="shared" si="375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t="shared" ca="1" si="371"/>
        <v>0</v>
      </c>
      <c r="P607" s="47">
        <f t="shared" ca="1" si="372"/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t="shared" ca="1" si="374"/>
        <v>0</v>
      </c>
      <c r="U607" s="47">
        <f t="shared" ca="1" si="375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2">I626</f>
        <v>50</v>
      </c>
      <c r="J615" s="488">
        <f t="shared" si="382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3">L617+L618</f>
        <v>0</v>
      </c>
      <c r="M616" s="133">
        <f t="shared" si="383"/>
        <v>0</v>
      </c>
      <c r="N616" s="133">
        <f t="shared" si="383"/>
        <v>0</v>
      </c>
      <c r="O616" s="133">
        <f t="shared" ref="O616:O624" si="384">IF(L616&gt;0,N616*100/L616,0)</f>
        <v>0</v>
      </c>
      <c r="P616" s="133">
        <f t="shared" ref="P616:P624" si="385">IF(M616&gt;0,N616*100/M616,0)</f>
        <v>0</v>
      </c>
      <c r="Q616" s="133">
        <f t="shared" ref="Q616:S616" ca="1" si="386">Q617+Q618</f>
        <v>7300</v>
      </c>
      <c r="R616" s="133">
        <f t="shared" ca="1" si="386"/>
        <v>7300</v>
      </c>
      <c r="S616" s="133">
        <f t="shared" ca="1" si="386"/>
        <v>600</v>
      </c>
      <c r="T616" s="133">
        <f t="shared" ref="T616:T624" ca="1" si="387">IF(Q616&gt;0,S616*100/Q616,0)</f>
        <v>8.2191780821917817</v>
      </c>
      <c r="U616" s="133">
        <f t="shared" ref="U616:U624" ca="1" si="388">IF(R616&gt;0,S616*100/R616,0)</f>
        <v>8.2191780821917817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89">L620+L623</f>
        <v>0</v>
      </c>
      <c r="M617" s="49">
        <f t="shared" si="389"/>
        <v>0</v>
      </c>
      <c r="N617" s="49">
        <f t="shared" si="389"/>
        <v>0</v>
      </c>
      <c r="O617" s="49">
        <f t="shared" si="384"/>
        <v>0</v>
      </c>
      <c r="P617" s="49">
        <f t="shared" si="385"/>
        <v>0</v>
      </c>
      <c r="Q617" s="49">
        <f t="shared" ref="Q617:S618" si="390">Q620+Q623</f>
        <v>0</v>
      </c>
      <c r="R617" s="49">
        <f t="shared" si="390"/>
        <v>0</v>
      </c>
      <c r="S617" s="49">
        <f t="shared" si="390"/>
        <v>0</v>
      </c>
      <c r="T617" s="49">
        <f t="shared" si="387"/>
        <v>0</v>
      </c>
      <c r="U617" s="49">
        <f t="shared" si="388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89"/>
        <v>0</v>
      </c>
      <c r="M618" s="47">
        <f t="shared" si="389"/>
        <v>0</v>
      </c>
      <c r="N618" s="47">
        <f t="shared" si="389"/>
        <v>0</v>
      </c>
      <c r="O618" s="47">
        <f t="shared" si="384"/>
        <v>0</v>
      </c>
      <c r="P618" s="47">
        <f t="shared" si="385"/>
        <v>0</v>
      </c>
      <c r="Q618" s="47">
        <f t="shared" ca="1" si="390"/>
        <v>7300</v>
      </c>
      <c r="R618" s="47">
        <f t="shared" ca="1" si="390"/>
        <v>7300</v>
      </c>
      <c r="S618" s="47">
        <f t="shared" ca="1" si="390"/>
        <v>600</v>
      </c>
      <c r="T618" s="47">
        <f t="shared" ca="1" si="387"/>
        <v>8.2191780821917817</v>
      </c>
      <c r="U618" s="47">
        <f t="shared" ca="1" si="388"/>
        <v>8.2191780821917817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1">L620+L621</f>
        <v>0</v>
      </c>
      <c r="M619" s="47">
        <f t="shared" si="391"/>
        <v>0</v>
      </c>
      <c r="N619" s="47">
        <f t="shared" si="391"/>
        <v>0</v>
      </c>
      <c r="O619" s="47">
        <f t="shared" si="384"/>
        <v>0</v>
      </c>
      <c r="P619" s="47">
        <f t="shared" si="385"/>
        <v>0</v>
      </c>
      <c r="Q619" s="47">
        <f t="shared" ref="Q619:S619" ca="1" si="392">Q620+Q621</f>
        <v>7300</v>
      </c>
      <c r="R619" s="47">
        <f t="shared" ca="1" si="392"/>
        <v>7300</v>
      </c>
      <c r="S619" s="47">
        <f t="shared" ca="1" si="392"/>
        <v>600</v>
      </c>
      <c r="T619" s="47">
        <f t="shared" ca="1" si="387"/>
        <v>8.2191780821917817</v>
      </c>
      <c r="U619" s="47">
        <f t="shared" ca="1" si="388"/>
        <v>8.2191780821917817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4"/>
        <v>0</v>
      </c>
      <c r="P620" s="49">
        <f t="shared" si="385"/>
        <v>0</v>
      </c>
      <c r="Q620" s="49">
        <v>0</v>
      </c>
      <c r="R620" s="49">
        <v>0</v>
      </c>
      <c r="S620" s="49">
        <v>0</v>
      </c>
      <c r="T620" s="49">
        <f t="shared" si="387"/>
        <v>0</v>
      </c>
      <c r="U620" s="49">
        <f t="shared" si="388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4"/>
        <v>0</v>
      </c>
      <c r="P621" s="47">
        <f t="shared" si="385"/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t="shared" ca="1" si="387"/>
        <v>8.2191780821917817</v>
      </c>
      <c r="U621" s="47">
        <f t="shared" ca="1" si="388"/>
        <v>8.2191780821917817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3">L623+L624</f>
        <v>0</v>
      </c>
      <c r="M622" s="47">
        <f t="shared" si="393"/>
        <v>0</v>
      </c>
      <c r="N622" s="47">
        <f t="shared" si="393"/>
        <v>0</v>
      </c>
      <c r="O622" s="47">
        <f t="shared" si="384"/>
        <v>0</v>
      </c>
      <c r="P622" s="47">
        <f t="shared" si="385"/>
        <v>0</v>
      </c>
      <c r="Q622" s="47">
        <f t="shared" ref="Q622:S622" si="394">Q623+Q624</f>
        <v>0</v>
      </c>
      <c r="R622" s="47">
        <f t="shared" si="394"/>
        <v>0</v>
      </c>
      <c r="S622" s="47">
        <f t="shared" si="394"/>
        <v>0</v>
      </c>
      <c r="T622" s="47">
        <f t="shared" si="387"/>
        <v>0</v>
      </c>
      <c r="U622" s="47">
        <f t="shared" si="388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4"/>
        <v>0</v>
      </c>
      <c r="P623" s="49">
        <f t="shared" si="385"/>
        <v>0</v>
      </c>
      <c r="Q623" s="49">
        <v>0</v>
      </c>
      <c r="R623" s="49">
        <v>0</v>
      </c>
      <c r="S623" s="49">
        <v>0</v>
      </c>
      <c r="T623" s="49">
        <f t="shared" si="387"/>
        <v>0</v>
      </c>
      <c r="U623" s="49">
        <f t="shared" si="388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4"/>
        <v>0</v>
      </c>
      <c r="P624" s="47">
        <f t="shared" si="385"/>
        <v>0</v>
      </c>
      <c r="Q624" s="47">
        <v>0</v>
      </c>
      <c r="R624" s="47">
        <v>0</v>
      </c>
      <c r="S624" s="47">
        <v>0</v>
      </c>
      <c r="T624" s="47">
        <f t="shared" si="387"/>
        <v>0</v>
      </c>
      <c r="U624" s="47">
        <f t="shared" si="388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IFERROR(__xludf.DUMMYFUNCTION("IMPORTRANGE(""https://docs.google.com/spreadsheets/d/1eHaY18a8A9IcSdp1K8H6x8fbOy06t2VsZHhMHf-1x7Y/edit?usp=sharing"",""แผน!ID81"")"),50)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IFERROR(__xludf.DUMMYFUNCTION("IMPORTRANGE(""https://docs.google.com/spreadsheets/d/1eHaY18a8A9IcSdp1K8H6x8fbOy06t2VsZHhMHf-1x7Y/edit?usp=sharing"",""แผน!IC81"")"),1)</f>
        <v>1</v>
      </c>
      <c r="J627" s="169">
        <v>1</v>
      </c>
      <c r="K627" s="47">
        <f t="shared" ref="K627:K628" ca="1" si="395">IF(I627&gt;0,(J627*100)/I627,0)</f>
        <v>100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IFERROR(__xludf.DUMMYFUNCTION("IMPORTRANGE(""https://docs.google.com/spreadsheets/d/1eHaY18a8A9IcSdp1K8H6x8fbOy06t2VsZHhMHf-1x7Y/edit?usp=sharing"",""แผน!IC81"")"),1)</f>
        <v>1</v>
      </c>
      <c r="J628" s="169">
        <v>1</v>
      </c>
      <c r="K628" s="47">
        <f t="shared" ca="1" si="395"/>
        <v>100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6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6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6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IFERROR(__xludf.DUMMYFUNCTION("IMPORTRANGE(""https://docs.google.com/spreadsheets/d/1eHaY18a8A9IcSdp1K8H6x8fbOy06t2VsZHhMHf-1x7Y/edit?usp=sharing"",""แผน!IE81"")"),0)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7">L643+L644</f>
        <v>0</v>
      </c>
      <c r="M642" s="133">
        <f t="shared" si="397"/>
        <v>0</v>
      </c>
      <c r="N642" s="133">
        <f t="shared" si="397"/>
        <v>0</v>
      </c>
      <c r="O642" s="133">
        <f t="shared" ref="O642:O650" si="398">IF(L642&gt;0,N642*100/L642,0)</f>
        <v>0</v>
      </c>
      <c r="P642" s="133">
        <f t="shared" ref="P642:P650" si="399">IF(M642&gt;0,N642*100/M642,0)</f>
        <v>0</v>
      </c>
      <c r="Q642" s="133">
        <f t="shared" ref="Q642:S642" ca="1" si="400">Q643+Q644</f>
        <v>0</v>
      </c>
      <c r="R642" s="133">
        <f t="shared" ca="1" si="400"/>
        <v>0</v>
      </c>
      <c r="S642" s="133">
        <f t="shared" ca="1" si="400"/>
        <v>0</v>
      </c>
      <c r="T642" s="133">
        <f t="shared" ref="T642:T650" ca="1" si="401">IF(Q642&gt;0,S642*100/Q642,0)</f>
        <v>0</v>
      </c>
      <c r="U642" s="133">
        <f t="shared" ref="U642:U650" ca="1" si="402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3">L646+L649</f>
        <v>0</v>
      </c>
      <c r="M643" s="49">
        <f t="shared" si="403"/>
        <v>0</v>
      </c>
      <c r="N643" s="49">
        <f t="shared" si="403"/>
        <v>0</v>
      </c>
      <c r="O643" s="49">
        <f t="shared" si="398"/>
        <v>0</v>
      </c>
      <c r="P643" s="49">
        <f t="shared" si="399"/>
        <v>0</v>
      </c>
      <c r="Q643" s="49">
        <f t="shared" ref="Q643:S644" si="404">Q646+Q649</f>
        <v>0</v>
      </c>
      <c r="R643" s="49">
        <f t="shared" si="404"/>
        <v>0</v>
      </c>
      <c r="S643" s="49">
        <f t="shared" si="404"/>
        <v>0</v>
      </c>
      <c r="T643" s="49">
        <f t="shared" si="401"/>
        <v>0</v>
      </c>
      <c r="U643" s="49">
        <f t="shared" si="402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3"/>
        <v>0</v>
      </c>
      <c r="M644" s="47">
        <f t="shared" si="403"/>
        <v>0</v>
      </c>
      <c r="N644" s="47">
        <f t="shared" si="403"/>
        <v>0</v>
      </c>
      <c r="O644" s="47">
        <f t="shared" si="398"/>
        <v>0</v>
      </c>
      <c r="P644" s="47">
        <f t="shared" si="399"/>
        <v>0</v>
      </c>
      <c r="Q644" s="47">
        <f t="shared" ca="1" si="404"/>
        <v>0</v>
      </c>
      <c r="R644" s="47">
        <f t="shared" ca="1" si="404"/>
        <v>0</v>
      </c>
      <c r="S644" s="47">
        <f t="shared" ca="1" si="404"/>
        <v>0</v>
      </c>
      <c r="T644" s="47">
        <f t="shared" ca="1" si="401"/>
        <v>0</v>
      </c>
      <c r="U644" s="47">
        <f t="shared" ca="1" si="402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5">L646+L647</f>
        <v>0</v>
      </c>
      <c r="M645" s="47">
        <f t="shared" si="405"/>
        <v>0</v>
      </c>
      <c r="N645" s="47">
        <f t="shared" si="405"/>
        <v>0</v>
      </c>
      <c r="O645" s="47">
        <f t="shared" si="398"/>
        <v>0</v>
      </c>
      <c r="P645" s="47">
        <f t="shared" si="399"/>
        <v>0</v>
      </c>
      <c r="Q645" s="47">
        <f t="shared" ref="Q645:S645" ca="1" si="406">Q646+Q647</f>
        <v>0</v>
      </c>
      <c r="R645" s="47">
        <f t="shared" ca="1" si="406"/>
        <v>0</v>
      </c>
      <c r="S645" s="47">
        <f t="shared" ca="1" si="406"/>
        <v>0</v>
      </c>
      <c r="T645" s="47">
        <f t="shared" ca="1" si="401"/>
        <v>0</v>
      </c>
      <c r="U645" s="47">
        <f t="shared" ca="1" si="402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8"/>
        <v>0</v>
      </c>
      <c r="P646" s="49">
        <f t="shared" si="399"/>
        <v>0</v>
      </c>
      <c r="Q646" s="49">
        <v>0</v>
      </c>
      <c r="R646" s="49">
        <v>0</v>
      </c>
      <c r="S646" s="49">
        <v>0</v>
      </c>
      <c r="T646" s="49">
        <f t="shared" si="401"/>
        <v>0</v>
      </c>
      <c r="U646" s="49">
        <f t="shared" si="402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8"/>
        <v>0</v>
      </c>
      <c r="P647" s="47">
        <f t="shared" si="399"/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t="shared" ca="1" si="401"/>
        <v>0</v>
      </c>
      <c r="U647" s="47">
        <f t="shared" ca="1" si="402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7">L649+L650</f>
        <v>0</v>
      </c>
      <c r="M648" s="47">
        <f t="shared" si="407"/>
        <v>0</v>
      </c>
      <c r="N648" s="47">
        <f t="shared" si="407"/>
        <v>0</v>
      </c>
      <c r="O648" s="47">
        <f t="shared" si="398"/>
        <v>0</v>
      </c>
      <c r="P648" s="47">
        <f t="shared" si="399"/>
        <v>0</v>
      </c>
      <c r="Q648" s="47">
        <f t="shared" ref="Q648:S648" si="408">Q649+Q650</f>
        <v>0</v>
      </c>
      <c r="R648" s="47">
        <f t="shared" si="408"/>
        <v>0</v>
      </c>
      <c r="S648" s="47">
        <f t="shared" si="408"/>
        <v>0</v>
      </c>
      <c r="T648" s="47">
        <f t="shared" si="401"/>
        <v>0</v>
      </c>
      <c r="U648" s="47">
        <f t="shared" si="402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8"/>
        <v>0</v>
      </c>
      <c r="P649" s="49">
        <f t="shared" si="399"/>
        <v>0</v>
      </c>
      <c r="Q649" s="49">
        <v>0</v>
      </c>
      <c r="R649" s="49">
        <v>0</v>
      </c>
      <c r="S649" s="49">
        <v>0</v>
      </c>
      <c r="T649" s="49">
        <f t="shared" si="401"/>
        <v>0</v>
      </c>
      <c r="U649" s="49">
        <f t="shared" si="402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8"/>
        <v>0</v>
      </c>
      <c r="P650" s="47">
        <f t="shared" si="399"/>
        <v>0</v>
      </c>
      <c r="Q650" s="47">
        <v>0</v>
      </c>
      <c r="R650" s="47">
        <v>0</v>
      </c>
      <c r="S650" s="47">
        <v>0</v>
      </c>
      <c r="T650" s="47">
        <f t="shared" si="401"/>
        <v>0</v>
      </c>
      <c r="U650" s="47">
        <f t="shared" si="402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IFERROR(__xludf.DUMMYFUNCTION("IMPORTRANGE(""https://docs.google.com/spreadsheets/d/1eHaY18a8A9IcSdp1K8H6x8fbOy06t2VsZHhMHf-1x7Y/edit?usp=sharing"",""แผน!IF81"")"),0)</f>
        <v>0</v>
      </c>
      <c r="J652" s="37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t="shared" ref="K652:K654" ca="1" si="409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IFERROR(__xludf.DUMMYFUNCTION("IMPORTRANGE(""https://docs.google.com/spreadsheets/d/1eHaY18a8A9IcSdp1K8H6x8fbOy06t2VsZHhMHf-1x7Y/edit?usp=sharing"",""แผน!IG81"")"),0)</f>
        <v>0</v>
      </c>
      <c r="J653" s="37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t="shared" ca="1" si="409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IFERROR(__xludf.DUMMYFUNCTION("IMPORTRANGE(""https://docs.google.com/spreadsheets/d/1eHaY18a8A9IcSdp1K8H6x8fbOy06t2VsZHhMHf-1x7Y/edit?usp=sharing"",""แผน!IH81"")"),0)</f>
        <v>0</v>
      </c>
      <c r="J654" s="371">
        <f>J657+J660</f>
        <v>0</v>
      </c>
      <c r="K654" s="133">
        <f t="shared" ca="1" si="409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IFERROR(__xludf.DUMMYFUNCTION("IMPORTRANGE(""https://docs.google.com/spreadsheets/d/1eHaY18a8A9IcSdp1K8H6x8fbOy06t2VsZHhMHf-1x7Y/edit?usp=sharing"",""แผน!II81"")"),0)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IFERROR(__xludf.DUMMYFUNCTION("IMPORTRANGE(""https://docs.google.com/spreadsheets/d/1eHaY18a8A9IcSdp1K8H6x8fbOy06t2VsZHhMHf-1x7Y/edit?usp=sharing"",""แผน!IJ81"")"),0)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IFERROR(__xludf.DUMMYFUNCTION("IMPORTRANGE(""https://docs.google.com/spreadsheets/d/1eHaY18a8A9IcSdp1K8H6x8fbOy06t2VsZHhMHf-1x7Y/edit?usp=sharing"",""แผน!IK81"")"),0)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IFERROR(__xludf.DUMMYFUNCTION("IMPORTRANGE(""https://docs.google.com/spreadsheets/d/1eHaY18a8A9IcSdp1K8H6x8fbOy06t2VsZHhMHf-1x7Y/edit?usp=sharing"",""แผน!IL81"")"),0)</f>
        <v>0</v>
      </c>
      <c r="J673" s="37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t="shared" ref="K673:K676" ca="1" si="410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IFERROR(__xludf.DUMMYFUNCTION("IMPORTRANGE(""https://docs.google.com/spreadsheets/d/1eHaY18a8A9IcSdp1K8H6x8fbOy06t2VsZHhMHf-1x7Y/edit?usp=sharing"",""แผน!IM81"")"),0)</f>
        <v>0</v>
      </c>
      <c r="J674" s="371">
        <f ca="1">J676+J679</f>
        <v>0</v>
      </c>
      <c r="K674" s="133">
        <f t="shared" ca="1" si="410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IFERROR(__xludf.DUMMYFUNCTION("IMPORTRANGE(""https://docs.google.com/spreadsheets/d/1eHaY18a8A9IcSdp1K8H6x8fbOy06t2VsZHhMHf-1x7Y/edit?usp=sharing"",""แผน!IN81"")"),0)</f>
        <v>0</v>
      </c>
      <c r="J675" s="371">
        <f ca="1">J678+J681</f>
        <v>0</v>
      </c>
      <c r="K675" s="133">
        <f t="shared" ca="1" si="410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IFERROR(__xludf.DUMMYFUNCTION("IMPORTRANGE(""https://docs.google.com/spreadsheets/d/1eHaY18a8A9IcSdp1K8H6x8fbOy06t2VsZHhMHf-1x7Y/edit?usp=sharing"",""แผน!IO81"")"),0)</f>
        <v>0</v>
      </c>
      <c r="J676" s="37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t="shared" ca="1" si="410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IFERROR(__xludf.DUMMYFUNCTION("IMPORTRANGE(""https://docs.google.com/spreadsheets/d/1eHaY18a8A9IcSdp1K8H6x8fbOy06t2VsZHhMHf-1x7Y/edit?usp=sharing"",""แผน!IP81"")"),0)</f>
        <v>0</v>
      </c>
      <c r="J678" s="37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t="shared" ref="K678:K679" ca="1" si="411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IFERROR(__xludf.DUMMYFUNCTION("IMPORTRANGE(""https://docs.google.com/spreadsheets/d/1eHaY18a8A9IcSdp1K8H6x8fbOy06t2VsZHhMHf-1x7Y/edit?usp=sharing"",""แผน!IQ81"")"),0)</f>
        <v>0</v>
      </c>
      <c r="J679" s="37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t="shared" ca="1" si="411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IFERROR(__xludf.DUMMYFUNCTION("IMPORTRANGE(""https://docs.google.com/spreadsheets/d/1eHaY18a8A9IcSdp1K8H6x8fbOy06t2VsZHhMHf-1x7Y/edit?usp=sharing"",""แผน!IR81"")"),0)</f>
        <v>0</v>
      </c>
      <c r="J681" s="37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t="shared" ref="K681:K682" ca="1" si="412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IFERROR(__xludf.DUMMYFUNCTION("IMPORTRANGE(""https://docs.google.com/spreadsheets/d/1eHaY18a8A9IcSdp1K8H6x8fbOy06t2VsZHhMHf-1x7Y/edit?usp=sharing"",""แผน!IS81"")"),0)</f>
        <v>0</v>
      </c>
      <c r="J682" s="371">
        <f>J685+J688</f>
        <v>0</v>
      </c>
      <c r="K682" s="133">
        <f t="shared" ca="1" si="412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hidden="1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3">I707</f>
        <v>0</v>
      </c>
      <c r="J689" s="844">
        <f t="shared" ca="1" si="413"/>
        <v>0</v>
      </c>
      <c r="K689" s="505">
        <f ca="1">IF(I689&gt;0,J689*100/I689,0)</f>
        <v>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hidden="1" x14ac:dyDescent="0.3">
      <c r="A690" s="129"/>
      <c r="B690" s="160"/>
      <c r="C690" s="191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4">L691+L692</f>
        <v>0</v>
      </c>
      <c r="M690" s="133">
        <f t="shared" si="414"/>
        <v>0</v>
      </c>
      <c r="N690" s="133">
        <f t="shared" si="414"/>
        <v>0</v>
      </c>
      <c r="O690" s="133">
        <f t="shared" ref="O690:O698" si="415">IF(L690&gt;0,N690*100/L690,0)</f>
        <v>0</v>
      </c>
      <c r="P690" s="133">
        <f t="shared" ref="P690:P698" si="416">IF(M690&gt;0,N690*100/M690,0)</f>
        <v>0</v>
      </c>
      <c r="Q690" s="133">
        <f t="shared" ref="Q690:S690" ca="1" si="417">Q691+Q692</f>
        <v>0</v>
      </c>
      <c r="R690" s="133">
        <f t="shared" ca="1" si="417"/>
        <v>0</v>
      </c>
      <c r="S690" s="133">
        <f t="shared" ca="1" si="417"/>
        <v>0</v>
      </c>
      <c r="T690" s="133">
        <f t="shared" ref="T690:T698" ca="1" si="418">IF(Q690&gt;0,S690*100/Q690,0)</f>
        <v>0</v>
      </c>
      <c r="U690" s="133">
        <f t="shared" ref="U690:U698" ca="1" si="419">IF(R690&gt;0,S690*100/R690,0)</f>
        <v>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0">L694+L697</f>
        <v>0</v>
      </c>
      <c r="M691" s="49">
        <f t="shared" si="420"/>
        <v>0</v>
      </c>
      <c r="N691" s="49">
        <f t="shared" si="420"/>
        <v>0</v>
      </c>
      <c r="O691" s="49">
        <f t="shared" si="415"/>
        <v>0</v>
      </c>
      <c r="P691" s="49">
        <f t="shared" si="416"/>
        <v>0</v>
      </c>
      <c r="Q691" s="49">
        <f t="shared" ref="Q691:S692" si="421">Q694+Q697</f>
        <v>0</v>
      </c>
      <c r="R691" s="49">
        <f t="shared" si="421"/>
        <v>0</v>
      </c>
      <c r="S691" s="49">
        <f t="shared" si="421"/>
        <v>0</v>
      </c>
      <c r="T691" s="49">
        <f t="shared" si="418"/>
        <v>0</v>
      </c>
      <c r="U691" s="49">
        <f t="shared" si="419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0"/>
        <v>0</v>
      </c>
      <c r="M692" s="47">
        <f t="shared" si="420"/>
        <v>0</v>
      </c>
      <c r="N692" s="47">
        <f t="shared" si="420"/>
        <v>0</v>
      </c>
      <c r="O692" s="47">
        <f t="shared" si="415"/>
        <v>0</v>
      </c>
      <c r="P692" s="47">
        <f t="shared" si="416"/>
        <v>0</v>
      </c>
      <c r="Q692" s="47">
        <f t="shared" ca="1" si="421"/>
        <v>0</v>
      </c>
      <c r="R692" s="47">
        <f t="shared" ca="1" si="421"/>
        <v>0</v>
      </c>
      <c r="S692" s="47">
        <f t="shared" ca="1" si="421"/>
        <v>0</v>
      </c>
      <c r="T692" s="47">
        <f t="shared" ca="1" si="418"/>
        <v>0</v>
      </c>
      <c r="U692" s="47">
        <f t="shared" ca="1" si="419"/>
        <v>0</v>
      </c>
    </row>
    <row r="693" spans="1:21" ht="18.75" hidden="1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2">L694+L695</f>
        <v>0</v>
      </c>
      <c r="M693" s="47">
        <f t="shared" si="422"/>
        <v>0</v>
      </c>
      <c r="N693" s="47">
        <f t="shared" si="422"/>
        <v>0</v>
      </c>
      <c r="O693" s="47">
        <f t="shared" si="415"/>
        <v>0</v>
      </c>
      <c r="P693" s="47">
        <f t="shared" si="416"/>
        <v>0</v>
      </c>
      <c r="Q693" s="47">
        <f t="shared" ref="Q693:S693" ca="1" si="423">Q694+Q695</f>
        <v>0</v>
      </c>
      <c r="R693" s="47">
        <f t="shared" ca="1" si="423"/>
        <v>0</v>
      </c>
      <c r="S693" s="47">
        <f t="shared" ca="1" si="423"/>
        <v>0</v>
      </c>
      <c r="T693" s="47">
        <f t="shared" ca="1" si="418"/>
        <v>0</v>
      </c>
      <c r="U693" s="47">
        <f t="shared" ca="1" si="419"/>
        <v>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5"/>
        <v>0</v>
      </c>
      <c r="P694" s="49">
        <f t="shared" si="416"/>
        <v>0</v>
      </c>
      <c r="Q694" s="49">
        <v>0</v>
      </c>
      <c r="R694" s="49">
        <v>0</v>
      </c>
      <c r="S694" s="49">
        <v>0</v>
      </c>
      <c r="T694" s="49">
        <f t="shared" si="418"/>
        <v>0</v>
      </c>
      <c r="U694" s="49">
        <f t="shared" si="419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5"/>
        <v>0</v>
      </c>
      <c r="P695" s="47">
        <f t="shared" si="416"/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t="shared" ca="1" si="418"/>
        <v>0</v>
      </c>
      <c r="U695" s="47">
        <f t="shared" ca="1" si="419"/>
        <v>0</v>
      </c>
    </row>
    <row r="696" spans="1:21" ht="18.75" hidden="1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4">L697+L698</f>
        <v>0</v>
      </c>
      <c r="M696" s="47">
        <f t="shared" si="424"/>
        <v>0</v>
      </c>
      <c r="N696" s="47">
        <f t="shared" si="424"/>
        <v>0</v>
      </c>
      <c r="O696" s="47">
        <f t="shared" si="415"/>
        <v>0</v>
      </c>
      <c r="P696" s="47">
        <f t="shared" si="416"/>
        <v>0</v>
      </c>
      <c r="Q696" s="47">
        <f t="shared" ref="Q696:S696" si="425">Q697+Q698</f>
        <v>0</v>
      </c>
      <c r="R696" s="47">
        <f t="shared" si="425"/>
        <v>0</v>
      </c>
      <c r="S696" s="47">
        <f t="shared" si="425"/>
        <v>0</v>
      </c>
      <c r="T696" s="47">
        <f t="shared" si="418"/>
        <v>0</v>
      </c>
      <c r="U696" s="47">
        <f t="shared" si="419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5"/>
        <v>0</v>
      </c>
      <c r="P697" s="49">
        <f t="shared" si="416"/>
        <v>0</v>
      </c>
      <c r="Q697" s="49">
        <v>0</v>
      </c>
      <c r="R697" s="49">
        <v>0</v>
      </c>
      <c r="S697" s="49">
        <v>0</v>
      </c>
      <c r="T697" s="49">
        <f t="shared" si="418"/>
        <v>0</v>
      </c>
      <c r="U697" s="49">
        <f t="shared" si="419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5"/>
        <v>0</v>
      </c>
      <c r="P698" s="47">
        <f t="shared" si="416"/>
        <v>0</v>
      </c>
      <c r="Q698" s="47">
        <v>0</v>
      </c>
      <c r="R698" s="47">
        <v>0</v>
      </c>
      <c r="S698" s="47">
        <v>0</v>
      </c>
      <c r="T698" s="47">
        <f t="shared" si="418"/>
        <v>0</v>
      </c>
      <c r="U698" s="47">
        <f t="shared" si="419"/>
        <v>0</v>
      </c>
    </row>
    <row r="699" spans="1:21" ht="19.5" hidden="1" x14ac:dyDescent="0.3">
      <c r="A699" s="139"/>
      <c r="B699" s="140"/>
      <c r="C699" s="191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IFERROR(__xludf.DUMMYFUNCTION("IMPORTRANGE(""https://docs.google.com/spreadsheets/d/1eHaY18a8A9IcSdp1K8H6x8fbOy06t2VsZHhMHf-1x7Y/edit?usp=sharing"",""แผน!LC81"")"),0)</f>
        <v>0</v>
      </c>
      <c r="J700" s="169">
        <v>0</v>
      </c>
      <c r="K700" s="154">
        <f t="shared" ref="K700:K710" ca="1" si="426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hidden="1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7">I703+I705</f>
        <v>0</v>
      </c>
      <c r="J701" s="371">
        <f t="shared" ca="1" si="427"/>
        <v>0</v>
      </c>
      <c r="K701" s="133">
        <f t="shared" ca="1" si="426"/>
        <v>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hidden="1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6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hidden="1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IFERROR(__xludf.DUMMYFUNCTION("IMPORTRANGE(""https://docs.google.com/spreadsheets/d/1eHaY18a8A9IcSdp1K8H6x8fbOy06t2VsZHhMHf-1x7Y/edit?usp=sharing"",""แผน!LJ81"")"),0)</f>
        <v>0</v>
      </c>
      <c r="J703" s="37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t="shared" ca="1" si="426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hidden="1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 t="shared" si="426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hidden="1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IFERROR(__xludf.DUMMYFUNCTION("IMPORTRANGE(""https://docs.google.com/spreadsheets/d/1eHaY18a8A9IcSdp1K8H6x8fbOy06t2VsZHhMHf-1x7Y/edit?usp=sharing"",""แผน!LK81"")"),0)</f>
        <v>0</v>
      </c>
      <c r="J705" s="372">
        <f ca="1">IFERROR(__xludf.DUMMYFUNCTION("IMPORTRANGE(""https://docs.google.com/spreadsheets/d/1tdoBKaGub7dwA3U6UFTqxio9LNnvDCQjHKmttSEBsFQ/edit?usp=sharing"",""จัดที่ดิน!AR81"")"),0)</f>
        <v>0</v>
      </c>
      <c r="K705" s="154">
        <f t="shared" ca="1" si="426"/>
        <v>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hidden="1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 t="shared" si="426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hidden="1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IFERROR(__xludf.DUMMYFUNCTION("IMPORTRANGE(""https://docs.google.com/spreadsheets/d/1eHaY18a8A9IcSdp1K8H6x8fbOy06t2VsZHhMHf-1x7Y/edit?usp=sharing"",""แผน!LJ81"")"),0)</f>
        <v>0</v>
      </c>
      <c r="J707" s="37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t="shared" ca="1" si="426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hidden="1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 t="shared" si="426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hidden="1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IFERROR(__xludf.DUMMYFUNCTION("IMPORTRANGE(""https://docs.google.com/spreadsheets/d/1eHaY18a8A9IcSdp1K8H6x8fbOy06t2VsZHhMHf-1x7Y/edit?usp=sharing"",""แผน!LK81"")"),0)</f>
        <v>0</v>
      </c>
      <c r="J709" s="37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t="shared" ca="1" si="426"/>
        <v>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 t="shared" si="426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8">L715+L716</f>
        <v>0</v>
      </c>
      <c r="M714" s="133">
        <f t="shared" si="428"/>
        <v>0</v>
      </c>
      <c r="N714" s="133">
        <f t="shared" si="428"/>
        <v>0</v>
      </c>
      <c r="O714" s="133">
        <f t="shared" ref="O714:O722" si="429">IF(L714&gt;0,N714*100/L714,0)</f>
        <v>0</v>
      </c>
      <c r="P714" s="133">
        <f t="shared" ref="P714:P722" si="430">IF(M714&gt;0,N714*100/M714,0)</f>
        <v>0</v>
      </c>
      <c r="Q714" s="133">
        <f t="shared" ref="Q714:S714" si="431">Q715+Q716</f>
        <v>0</v>
      </c>
      <c r="R714" s="133">
        <f t="shared" si="431"/>
        <v>0</v>
      </c>
      <c r="S714" s="133">
        <f t="shared" si="431"/>
        <v>0</v>
      </c>
      <c r="T714" s="133">
        <f t="shared" ref="T714:T722" si="432">IF(Q714&gt;0,S714*100/Q714,0)</f>
        <v>0</v>
      </c>
      <c r="U714" s="133">
        <f t="shared" ref="U714:U722" si="433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4">L718+L721</f>
        <v>0</v>
      </c>
      <c r="M715" s="49">
        <f t="shared" si="434"/>
        <v>0</v>
      </c>
      <c r="N715" s="49">
        <f t="shared" si="434"/>
        <v>0</v>
      </c>
      <c r="O715" s="49">
        <f t="shared" si="429"/>
        <v>0</v>
      </c>
      <c r="P715" s="49">
        <f t="shared" si="430"/>
        <v>0</v>
      </c>
      <c r="Q715" s="49">
        <f t="shared" ref="Q715:S716" si="435">Q718+Q721</f>
        <v>0</v>
      </c>
      <c r="R715" s="49">
        <f t="shared" si="435"/>
        <v>0</v>
      </c>
      <c r="S715" s="49">
        <f t="shared" si="435"/>
        <v>0</v>
      </c>
      <c r="T715" s="49">
        <f t="shared" si="432"/>
        <v>0</v>
      </c>
      <c r="U715" s="49">
        <f t="shared" si="433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4"/>
        <v>0</v>
      </c>
      <c r="M716" s="47">
        <f t="shared" si="434"/>
        <v>0</v>
      </c>
      <c r="N716" s="47">
        <f t="shared" si="434"/>
        <v>0</v>
      </c>
      <c r="O716" s="47">
        <f t="shared" si="429"/>
        <v>0</v>
      </c>
      <c r="P716" s="47">
        <f t="shared" si="430"/>
        <v>0</v>
      </c>
      <c r="Q716" s="47">
        <f t="shared" si="435"/>
        <v>0</v>
      </c>
      <c r="R716" s="47">
        <f t="shared" si="435"/>
        <v>0</v>
      </c>
      <c r="S716" s="47">
        <f t="shared" si="435"/>
        <v>0</v>
      </c>
      <c r="T716" s="47">
        <f t="shared" si="432"/>
        <v>0</v>
      </c>
      <c r="U716" s="47">
        <f t="shared" si="433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6">L718+L719</f>
        <v>0</v>
      </c>
      <c r="M717" s="47">
        <f t="shared" si="436"/>
        <v>0</v>
      </c>
      <c r="N717" s="47">
        <f t="shared" si="436"/>
        <v>0</v>
      </c>
      <c r="O717" s="47">
        <f t="shared" si="429"/>
        <v>0</v>
      </c>
      <c r="P717" s="47">
        <f t="shared" si="430"/>
        <v>0</v>
      </c>
      <c r="Q717" s="47">
        <f t="shared" ref="Q717:S717" si="437">Q718+Q719</f>
        <v>0</v>
      </c>
      <c r="R717" s="47">
        <f t="shared" si="437"/>
        <v>0</v>
      </c>
      <c r="S717" s="47">
        <f t="shared" si="437"/>
        <v>0</v>
      </c>
      <c r="T717" s="47">
        <f t="shared" si="432"/>
        <v>0</v>
      </c>
      <c r="U717" s="47">
        <f t="shared" si="433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29"/>
        <v>0</v>
      </c>
      <c r="P718" s="49">
        <f t="shared" si="430"/>
        <v>0</v>
      </c>
      <c r="Q718" s="49">
        <v>0</v>
      </c>
      <c r="R718" s="49">
        <v>0</v>
      </c>
      <c r="S718" s="49">
        <v>0</v>
      </c>
      <c r="T718" s="49">
        <f t="shared" si="432"/>
        <v>0</v>
      </c>
      <c r="U718" s="49">
        <f t="shared" si="433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29"/>
        <v>0</v>
      </c>
      <c r="P719" s="47">
        <f t="shared" si="430"/>
        <v>0</v>
      </c>
      <c r="Q719" s="47">
        <v>0</v>
      </c>
      <c r="R719" s="47">
        <v>0</v>
      </c>
      <c r="S719" s="47">
        <v>0</v>
      </c>
      <c r="T719" s="47">
        <f t="shared" si="432"/>
        <v>0</v>
      </c>
      <c r="U719" s="47">
        <f t="shared" si="433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8">L721+L722</f>
        <v>0</v>
      </c>
      <c r="M720" s="47">
        <f t="shared" si="438"/>
        <v>0</v>
      </c>
      <c r="N720" s="47">
        <f t="shared" si="438"/>
        <v>0</v>
      </c>
      <c r="O720" s="47">
        <f t="shared" si="429"/>
        <v>0</v>
      </c>
      <c r="P720" s="47">
        <f t="shared" si="430"/>
        <v>0</v>
      </c>
      <c r="Q720" s="47">
        <f t="shared" ref="Q720:S720" si="439">Q721+Q722</f>
        <v>0</v>
      </c>
      <c r="R720" s="47">
        <f t="shared" si="439"/>
        <v>0</v>
      </c>
      <c r="S720" s="47">
        <f t="shared" si="439"/>
        <v>0</v>
      </c>
      <c r="T720" s="47">
        <f t="shared" si="432"/>
        <v>0</v>
      </c>
      <c r="U720" s="47">
        <f t="shared" si="433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29"/>
        <v>0</v>
      </c>
      <c r="P721" s="49">
        <f t="shared" si="430"/>
        <v>0</v>
      </c>
      <c r="Q721" s="49">
        <v>0</v>
      </c>
      <c r="R721" s="49">
        <v>0</v>
      </c>
      <c r="S721" s="49">
        <v>0</v>
      </c>
      <c r="T721" s="49">
        <f t="shared" si="432"/>
        <v>0</v>
      </c>
      <c r="U721" s="49">
        <f t="shared" si="433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29"/>
        <v>0</v>
      </c>
      <c r="P722" s="47">
        <f t="shared" si="430"/>
        <v>0</v>
      </c>
      <c r="Q722" s="47">
        <v>0</v>
      </c>
      <c r="R722" s="47">
        <v>0</v>
      </c>
      <c r="S722" s="47">
        <v>0</v>
      </c>
      <c r="T722" s="47">
        <f t="shared" si="432"/>
        <v>0</v>
      </c>
      <c r="U722" s="47">
        <f t="shared" si="433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IFERROR(__xludf.DUMMYFUNCTION("IMPORTRANGE(""https://docs.google.com/spreadsheets/d/1eHaY18a8A9IcSdp1K8H6x8fbOy06t2VsZHhMHf-1x7Y/edit?usp=sharing"",""แผน!GA81"")"),16)</f>
        <v>16</v>
      </c>
      <c r="J726" s="504">
        <f>J742+J746+J749</f>
        <v>16</v>
      </c>
      <c r="K726" s="505">
        <f t="shared" ref="K726:K727" ca="1" si="440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IFERROR(__xludf.DUMMYFUNCTION("IMPORTRANGE(""https://docs.google.com/spreadsheets/d/1eHaY18a8A9IcSdp1K8H6x8fbOy06t2VsZHhMHf-1x7Y/edit?usp=sharing"",""แผน!FZ81"")"),150)</f>
        <v>150</v>
      </c>
      <c r="J727" s="504">
        <f>J752+J755</f>
        <v>150</v>
      </c>
      <c r="K727" s="505">
        <f t="shared" ca="1" si="440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1">L729+L730</f>
        <v>0</v>
      </c>
      <c r="M728" s="133">
        <f t="shared" si="441"/>
        <v>0</v>
      </c>
      <c r="N728" s="133">
        <f t="shared" si="441"/>
        <v>0</v>
      </c>
      <c r="O728" s="133">
        <f t="shared" ref="O728:O736" si="442">IF(L728&gt;0,N728*100/L728,0)</f>
        <v>0</v>
      </c>
      <c r="P728" s="133">
        <f t="shared" ref="P728:P736" si="443">IF(M728&gt;0,N728*100/M728,0)</f>
        <v>0</v>
      </c>
      <c r="Q728" s="133">
        <f t="shared" ref="Q728:S728" ca="1" si="444">Q729+Q730</f>
        <v>143438</v>
      </c>
      <c r="R728" s="133">
        <f t="shared" ca="1" si="444"/>
        <v>153438</v>
      </c>
      <c r="S728" s="133">
        <f t="shared" ca="1" si="444"/>
        <v>151380</v>
      </c>
      <c r="T728" s="133">
        <f t="shared" ref="T728:T736" ca="1" si="445">IF(Q728&gt;0,S728*100/Q728,0)</f>
        <v>105.5368870173873</v>
      </c>
      <c r="U728" s="133">
        <f t="shared" ref="U728:U736" ca="1" si="446">IF(R728&gt;0,S728*100/R728,0)</f>
        <v>98.658741641575105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7">L732+L735</f>
        <v>0</v>
      </c>
      <c r="M729" s="49">
        <f t="shared" si="447"/>
        <v>0</v>
      </c>
      <c r="N729" s="49">
        <f t="shared" si="447"/>
        <v>0</v>
      </c>
      <c r="O729" s="49">
        <f t="shared" si="442"/>
        <v>0</v>
      </c>
      <c r="P729" s="49">
        <f t="shared" si="443"/>
        <v>0</v>
      </c>
      <c r="Q729" s="49">
        <f t="shared" ref="Q729:S730" si="448">Q732+Q735</f>
        <v>0</v>
      </c>
      <c r="R729" s="49">
        <f t="shared" si="448"/>
        <v>0</v>
      </c>
      <c r="S729" s="49">
        <f t="shared" si="448"/>
        <v>0</v>
      </c>
      <c r="T729" s="49">
        <f t="shared" si="445"/>
        <v>0</v>
      </c>
      <c r="U729" s="49">
        <f t="shared" si="446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7"/>
        <v>0</v>
      </c>
      <c r="M730" s="47">
        <f t="shared" si="447"/>
        <v>0</v>
      </c>
      <c r="N730" s="47">
        <f t="shared" si="447"/>
        <v>0</v>
      </c>
      <c r="O730" s="47">
        <f t="shared" si="442"/>
        <v>0</v>
      </c>
      <c r="P730" s="47">
        <f t="shared" si="443"/>
        <v>0</v>
      </c>
      <c r="Q730" s="47">
        <f t="shared" ca="1" si="448"/>
        <v>143438</v>
      </c>
      <c r="R730" s="47">
        <f t="shared" ca="1" si="448"/>
        <v>153438</v>
      </c>
      <c r="S730" s="47">
        <f t="shared" ca="1" si="448"/>
        <v>151380</v>
      </c>
      <c r="T730" s="47">
        <f t="shared" ca="1" si="445"/>
        <v>105.5368870173873</v>
      </c>
      <c r="U730" s="47">
        <f t="shared" ca="1" si="446"/>
        <v>98.658741641575105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49">L732+L733</f>
        <v>0</v>
      </c>
      <c r="M731" s="47">
        <f t="shared" si="449"/>
        <v>0</v>
      </c>
      <c r="N731" s="47">
        <f t="shared" si="449"/>
        <v>0</v>
      </c>
      <c r="O731" s="47">
        <f t="shared" si="442"/>
        <v>0</v>
      </c>
      <c r="P731" s="47">
        <f t="shared" si="443"/>
        <v>0</v>
      </c>
      <c r="Q731" s="47">
        <f t="shared" ref="Q731:S731" ca="1" si="450">Q732+Q733</f>
        <v>143438</v>
      </c>
      <c r="R731" s="47">
        <f t="shared" ca="1" si="450"/>
        <v>153438</v>
      </c>
      <c r="S731" s="47">
        <f t="shared" ca="1" si="450"/>
        <v>151380</v>
      </c>
      <c r="T731" s="47">
        <f t="shared" ca="1" si="445"/>
        <v>105.5368870173873</v>
      </c>
      <c r="U731" s="47">
        <f t="shared" ca="1" si="446"/>
        <v>98.658741641575105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2"/>
        <v>0</v>
      </c>
      <c r="P732" s="49">
        <f t="shared" si="443"/>
        <v>0</v>
      </c>
      <c r="Q732" s="49">
        <v>0</v>
      </c>
      <c r="R732" s="49">
        <v>0</v>
      </c>
      <c r="S732" s="49">
        <v>0</v>
      </c>
      <c r="T732" s="49">
        <f t="shared" si="445"/>
        <v>0</v>
      </c>
      <c r="U732" s="49">
        <f t="shared" si="446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2"/>
        <v>0</v>
      </c>
      <c r="P733" s="47">
        <f t="shared" si="443"/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IFERROR(__xludf.DUMMYFUNCTION("IMPORTRANGE(""https://docs.google.com/spreadsheets/d/1ItG2mGa2ceCfYo0BwxsXqNm01IGEUdYcSSLTEv9YCik/edit?usp=sharing"",""เบิกจ่ายกองทุน!P81"")"),153438)</f>
        <v>153438</v>
      </c>
      <c r="S733" s="47">
        <f ca="1">IFERROR(__xludf.DUMMYFUNCTION("IMPORTRANGE(""https://docs.google.com/spreadsheets/d/1ItG2mGa2ceCfYo0BwxsXqNm01IGEUdYcSSLTEv9YCik/edit?usp=sharing"",""เบิกจ่ายกองทุน!Q81"")"),151380)</f>
        <v>151380</v>
      </c>
      <c r="T733" s="47">
        <f t="shared" ca="1" si="445"/>
        <v>105.5368870173873</v>
      </c>
      <c r="U733" s="47">
        <f t="shared" ca="1" si="446"/>
        <v>98.658741641575105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1">L735+L736</f>
        <v>0</v>
      </c>
      <c r="M734" s="47">
        <f t="shared" si="451"/>
        <v>0</v>
      </c>
      <c r="N734" s="47">
        <f t="shared" si="451"/>
        <v>0</v>
      </c>
      <c r="O734" s="47">
        <f t="shared" si="442"/>
        <v>0</v>
      </c>
      <c r="P734" s="47">
        <f t="shared" si="443"/>
        <v>0</v>
      </c>
      <c r="Q734" s="47">
        <f t="shared" ref="Q734:S734" si="452">Q735+Q736</f>
        <v>0</v>
      </c>
      <c r="R734" s="47">
        <f t="shared" si="452"/>
        <v>0</v>
      </c>
      <c r="S734" s="47">
        <f t="shared" si="452"/>
        <v>0</v>
      </c>
      <c r="T734" s="47">
        <f t="shared" si="445"/>
        <v>0</v>
      </c>
      <c r="U734" s="47">
        <f t="shared" si="446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2"/>
        <v>0</v>
      </c>
      <c r="P735" s="49">
        <f t="shared" si="443"/>
        <v>0</v>
      </c>
      <c r="Q735" s="49">
        <v>0</v>
      </c>
      <c r="R735" s="49">
        <v>0</v>
      </c>
      <c r="S735" s="49">
        <v>0</v>
      </c>
      <c r="T735" s="49">
        <f t="shared" si="445"/>
        <v>0</v>
      </c>
      <c r="U735" s="49">
        <f t="shared" si="446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2"/>
        <v>0</v>
      </c>
      <c r="P736" s="47">
        <f t="shared" si="443"/>
        <v>0</v>
      </c>
      <c r="Q736" s="47">
        <v>0</v>
      </c>
      <c r="R736" s="47">
        <v>0</v>
      </c>
      <c r="S736" s="47">
        <v>0</v>
      </c>
      <c r="T736" s="47">
        <f t="shared" si="445"/>
        <v>0</v>
      </c>
      <c r="U736" s="47">
        <f t="shared" si="446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9"/>
      <c r="B740" s="140"/>
      <c r="C740" s="140"/>
      <c r="D740" s="140"/>
      <c r="E740" s="140"/>
      <c r="F740" s="492" t="s">
        <v>278</v>
      </c>
      <c r="G740" s="144"/>
      <c r="H740" s="134" t="s">
        <v>46</v>
      </c>
      <c r="I740" s="372">
        <f ca="1">IFERROR(__xludf.DUMMYFUNCTION("IMPORTRANGE(""https://docs.google.com/spreadsheets/d/1eHaY18a8A9IcSdp1K8H6x8fbOy06t2VsZHhMHf-1x7Y/edit?usp=sharing"",""แผน!GB81"")"),120)</f>
        <v>120</v>
      </c>
      <c r="J740" s="169">
        <v>120</v>
      </c>
      <c r="K740" s="47">
        <f ca="1">IF(I740&gt;0,J740*100/I740,0)</f>
        <v>100</v>
      </c>
      <c r="L740" s="591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12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IFERROR(__xludf.DUMMYFUNCTION("IMPORTRANGE(""https://docs.google.com/spreadsheets/d/1eHaY18a8A9IcSdp1K8H6x8fbOy06t2VsZHhMHf-1x7Y/edit?usp=sharing"",""แผน!GC81"")"),12)</f>
        <v>12</v>
      </c>
      <c r="J742" s="795">
        <v>12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IFERROR(__xludf.DUMMYFUNCTION("IMPORTRANGE(""https://docs.google.com/spreadsheets/d/1eHaY18a8A9IcSdp1K8H6x8fbOy06t2VsZHhMHf-1x7Y/edit?usp=sharing"",""แผน!GD81"")"),30)</f>
        <v>30</v>
      </c>
      <c r="J744" s="795">
        <v>30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3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IFERROR(__xludf.DUMMYFUNCTION("IMPORTRANGE(""https://docs.google.com/spreadsheets/d/1eHaY18a8A9IcSdp1K8H6x8fbOy06t2VsZHhMHf-1x7Y/edit?usp=sharing"",""แผน!GE81"")"),3)</f>
        <v>3</v>
      </c>
      <c r="J746" s="795">
        <v>3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1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IFERROR(__xludf.DUMMYFUNCTION("IMPORTRANGE(""https://docs.google.com/spreadsheets/d/1eHaY18a8A9IcSdp1K8H6x8fbOy06t2VsZHhMHf-1x7Y/edit?usp=sharing"",""แผน!GF81"")"),1)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IFERROR(__xludf.DUMMYFUNCTION("IMPORTRANGE(""https://docs.google.com/spreadsheets/d/1eHaY18a8A9IcSdp1K8H6x8fbOy06t2VsZHhMHf-1x7Y/edit?usp=sharing"",""แผน!GB81"")"),120)</f>
        <v>120</v>
      </c>
      <c r="J752" s="795">
        <v>120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13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IFERROR(__xludf.DUMMYFUNCTION("IMPORTRANGE(""https://docs.google.com/spreadsheets/d/1eHaY18a8A9IcSdp1K8H6x8fbOy06t2VsZHhMHf-1x7Y/edit?usp=sharing"",""แผน!GD81"")"),30)</f>
        <v>30</v>
      </c>
      <c r="J755" s="795">
        <v>30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3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1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3">I772</f>
        <v>20</v>
      </c>
      <c r="J758" s="504">
        <f t="shared" si="453"/>
        <v>20</v>
      </c>
      <c r="K758" s="505">
        <f t="shared" ref="K758:K759" ca="1" si="454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5">I774</f>
        <v>60</v>
      </c>
      <c r="J759" s="504">
        <f t="shared" si="455"/>
        <v>60</v>
      </c>
      <c r="K759" s="505">
        <f t="shared" ca="1" si="454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6">L761+L762</f>
        <v>0</v>
      </c>
      <c r="M760" s="133">
        <f t="shared" si="456"/>
        <v>0</v>
      </c>
      <c r="N760" s="133">
        <f t="shared" si="456"/>
        <v>0</v>
      </c>
      <c r="O760" s="133">
        <f t="shared" ref="O760:O768" si="457">IF(L760&gt;0,N760*100/L760,0)</f>
        <v>0</v>
      </c>
      <c r="P760" s="133">
        <f t="shared" ref="P760:P768" si="458">IF(M760&gt;0,N760*100/M760,0)</f>
        <v>0</v>
      </c>
      <c r="Q760" s="133">
        <f t="shared" ref="Q760:S760" ca="1" si="459">Q761+Q762</f>
        <v>160660</v>
      </c>
      <c r="R760" s="133">
        <f t="shared" ca="1" si="459"/>
        <v>151475</v>
      </c>
      <c r="S760" s="133">
        <f t="shared" ca="1" si="459"/>
        <v>151475</v>
      </c>
      <c r="T760" s="133">
        <f t="shared" ref="T760:T768" ca="1" si="460">IF(Q760&gt;0,S760*100/Q760,0)</f>
        <v>94.282957799078801</v>
      </c>
      <c r="U760" s="133">
        <f t="shared" ref="U760:U768" ca="1" si="461">IF(R760&gt;0,S760*100/R760,0)</f>
        <v>100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2">L764+L767</f>
        <v>0</v>
      </c>
      <c r="M761" s="49">
        <f t="shared" si="462"/>
        <v>0</v>
      </c>
      <c r="N761" s="49">
        <f t="shared" si="462"/>
        <v>0</v>
      </c>
      <c r="O761" s="49">
        <f t="shared" si="457"/>
        <v>0</v>
      </c>
      <c r="P761" s="49">
        <f t="shared" si="458"/>
        <v>0</v>
      </c>
      <c r="Q761" s="49">
        <f t="shared" ref="Q761:S762" si="463">Q764+Q767</f>
        <v>0</v>
      </c>
      <c r="R761" s="49">
        <f t="shared" si="463"/>
        <v>0</v>
      </c>
      <c r="S761" s="49">
        <f t="shared" si="463"/>
        <v>0</v>
      </c>
      <c r="T761" s="49">
        <f t="shared" si="460"/>
        <v>0</v>
      </c>
      <c r="U761" s="49">
        <f t="shared" si="461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2"/>
        <v>0</v>
      </c>
      <c r="M762" s="47">
        <f t="shared" si="462"/>
        <v>0</v>
      </c>
      <c r="N762" s="47">
        <f t="shared" si="462"/>
        <v>0</v>
      </c>
      <c r="O762" s="47">
        <f t="shared" si="457"/>
        <v>0</v>
      </c>
      <c r="P762" s="47">
        <f t="shared" si="458"/>
        <v>0</v>
      </c>
      <c r="Q762" s="47">
        <f t="shared" ca="1" si="463"/>
        <v>160660</v>
      </c>
      <c r="R762" s="47">
        <f t="shared" ca="1" si="463"/>
        <v>151475</v>
      </c>
      <c r="S762" s="47">
        <f t="shared" ca="1" si="463"/>
        <v>151475</v>
      </c>
      <c r="T762" s="47">
        <f t="shared" ca="1" si="460"/>
        <v>94.282957799078801</v>
      </c>
      <c r="U762" s="47">
        <f t="shared" ca="1" si="461"/>
        <v>100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4">L764+L765</f>
        <v>0</v>
      </c>
      <c r="M763" s="47">
        <f t="shared" si="464"/>
        <v>0</v>
      </c>
      <c r="N763" s="47">
        <f t="shared" si="464"/>
        <v>0</v>
      </c>
      <c r="O763" s="47">
        <f t="shared" si="457"/>
        <v>0</v>
      </c>
      <c r="P763" s="47">
        <f t="shared" si="458"/>
        <v>0</v>
      </c>
      <c r="Q763" s="47">
        <f t="shared" ref="Q763:S763" ca="1" si="465">Q764+Q765</f>
        <v>160660</v>
      </c>
      <c r="R763" s="47">
        <f t="shared" ca="1" si="465"/>
        <v>151475</v>
      </c>
      <c r="S763" s="47">
        <f t="shared" ca="1" si="465"/>
        <v>151475</v>
      </c>
      <c r="T763" s="47">
        <f t="shared" ca="1" si="460"/>
        <v>94.282957799078801</v>
      </c>
      <c r="U763" s="47">
        <f t="shared" ca="1" si="461"/>
        <v>100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7"/>
        <v>0</v>
      </c>
      <c r="P764" s="49">
        <f t="shared" si="458"/>
        <v>0</v>
      </c>
      <c r="Q764" s="49">
        <v>0</v>
      </c>
      <c r="R764" s="49">
        <v>0</v>
      </c>
      <c r="S764" s="49">
        <v>0</v>
      </c>
      <c r="T764" s="49">
        <f t="shared" si="460"/>
        <v>0</v>
      </c>
      <c r="U764" s="49">
        <f t="shared" si="461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7"/>
        <v>0</v>
      </c>
      <c r="P765" s="47">
        <f t="shared" si="458"/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IFERROR(__xludf.DUMMYFUNCTION("IMPORTRANGE(""https://docs.google.com/spreadsheets/d/1ItG2mGa2ceCfYo0BwxsXqNm01IGEUdYcSSLTEv9YCik/edit?usp=sharing"",""เบิกจ่ายกองทุน!AB81"")"),151475)</f>
        <v>151475</v>
      </c>
      <c r="S765" s="47">
        <f ca="1">IFERROR(__xludf.DUMMYFUNCTION("IMPORTRANGE(""https://docs.google.com/spreadsheets/d/1ItG2mGa2ceCfYo0BwxsXqNm01IGEUdYcSSLTEv9YCik/edit?usp=sharing"",""เบิกจ่ายกองทุน!AC81"")"),151475)</f>
        <v>151475</v>
      </c>
      <c r="T765" s="47">
        <f t="shared" ca="1" si="460"/>
        <v>94.282957799078801</v>
      </c>
      <c r="U765" s="47">
        <f t="shared" ca="1" si="461"/>
        <v>100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6">L767+L768</f>
        <v>0</v>
      </c>
      <c r="M766" s="47">
        <f t="shared" si="466"/>
        <v>0</v>
      </c>
      <c r="N766" s="47">
        <f t="shared" si="466"/>
        <v>0</v>
      </c>
      <c r="O766" s="47">
        <f t="shared" si="457"/>
        <v>0</v>
      </c>
      <c r="P766" s="47">
        <f t="shared" si="458"/>
        <v>0</v>
      </c>
      <c r="Q766" s="47">
        <f t="shared" ref="Q766:S766" si="467">Q767+Q768</f>
        <v>0</v>
      </c>
      <c r="R766" s="47">
        <f t="shared" si="467"/>
        <v>0</v>
      </c>
      <c r="S766" s="47">
        <f t="shared" si="467"/>
        <v>0</v>
      </c>
      <c r="T766" s="47">
        <f t="shared" si="460"/>
        <v>0</v>
      </c>
      <c r="U766" s="47">
        <f t="shared" si="461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7"/>
        <v>0</v>
      </c>
      <c r="P767" s="49">
        <f t="shared" si="458"/>
        <v>0</v>
      </c>
      <c r="Q767" s="49">
        <v>0</v>
      </c>
      <c r="R767" s="49">
        <v>0</v>
      </c>
      <c r="S767" s="49">
        <v>0</v>
      </c>
      <c r="T767" s="49">
        <f t="shared" si="460"/>
        <v>0</v>
      </c>
      <c r="U767" s="49">
        <f t="shared" si="461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7"/>
        <v>0</v>
      </c>
      <c r="P768" s="47">
        <f t="shared" si="458"/>
        <v>0</v>
      </c>
      <c r="Q768" s="47">
        <v>0</v>
      </c>
      <c r="R768" s="47">
        <v>0</v>
      </c>
      <c r="S768" s="47">
        <v>0</v>
      </c>
      <c r="T768" s="47">
        <f t="shared" si="460"/>
        <v>0</v>
      </c>
      <c r="U768" s="47">
        <f t="shared" si="461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IFERROR(__xludf.DUMMYFUNCTION("IMPORTRANGE(""https://docs.google.com/spreadsheets/d/1eHaY18a8A9IcSdp1K8H6x8fbOy06t2VsZHhMHf-1x7Y/edit?usp=sharing"",""แผน!FI81"")"),1)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IFERROR(__xludf.DUMMYFUNCTION("IMPORTRANGE(""https://docs.google.com/spreadsheets/d/1eHaY18a8A9IcSdp1K8H6x8fbOy06t2VsZHhMHf-1x7Y/edit?usp=sharing"",""แผน!FQ81"")"),20)</f>
        <v>20</v>
      </c>
      <c r="J772" s="169">
        <v>20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IFERROR(__xludf.DUMMYFUNCTION("IMPORTRANGE(""https://docs.google.com/spreadsheets/d/1eHaY18a8A9IcSdp1K8H6x8fbOy06t2VsZHhMHf-1x7Y/edit?usp=sharing"",""แผน!FR81"")"),60)</f>
        <v>60</v>
      </c>
      <c r="J774" s="169">
        <v>60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IFERROR(__xludf.DUMMYFUNCTION("IMPORTRANGE(""https://docs.google.com/spreadsheets/d/1eHaY18a8A9IcSdp1K8H6x8fbOy06t2VsZHhMHf-1x7Y/edit?usp=sharing"",""แผน!FS81"")"),60)</f>
        <v>60</v>
      </c>
      <c r="J775" s="169">
        <v>60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IFERROR(__xludf.DUMMYFUNCTION("IMPORTRANGE(""https://docs.google.com/spreadsheets/d/1eHaY18a8A9IcSdp1K8H6x8fbOy06t2VsZHhMHf-1x7Y/edit?usp=sharing"",""แผน!FT81"")"),20)</f>
        <v>20</v>
      </c>
      <c r="J776" s="378">
        <v>20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IFERROR(__xludf.DUMMYFUNCTION("IMPORTRANGE(""https://docs.google.com/spreadsheets/d/10OvvATaaLtwErnr3qtWFcTmtbfpFEt5Bsqel9sXx0uE/edit?usp=sharing"",""งานกองทุน!D81"")"),631714.82)</f>
        <v>631714.81999999995</v>
      </c>
      <c r="J778" s="372">
        <f ca="1">IFERROR(__xludf.DUMMYFUNCTION("IMPORTRANGE(""https://docs.google.com/spreadsheets/d/10OvvATaaLtwErnr3qtWFcTmtbfpFEt5Bsqel9sXx0uE/edit?usp=sharing"",""งานกองทุน!F81"")"),508423.78)</f>
        <v>508423.78</v>
      </c>
      <c r="K778" s="47">
        <f t="shared" ref="K778:K785" ca="1" si="468">IF(I778&gt;0,J778*100/I778,0)</f>
        <v>80.483117366155824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IFERROR(__xludf.DUMMYFUNCTION("IMPORTRANGE(""https://docs.google.com/spreadsheets/d/10OvvATaaLtwErnr3qtWFcTmtbfpFEt5Bsqel9sXx0uE/edit?usp=sharing"",""งานกองทุน!C81"")"),48)</f>
        <v>48</v>
      </c>
      <c r="J779" s="372">
        <f ca="1">IFERROR(__xludf.DUMMYFUNCTION("IMPORTRANGE(""https://docs.google.com/spreadsheets/d/10OvvATaaLtwErnr3qtWFcTmtbfpFEt5Bsqel9sXx0uE/edit?usp=sharing"",""งานกองทุน!E81"")"),41)</f>
        <v>41</v>
      </c>
      <c r="K779" s="47">
        <f t="shared" ca="1" si="468"/>
        <v>85.416666666666671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372">
        <f ca="1">IFERROR(__xludf.DUMMYFUNCTION("IMPORTRANGE(""https://docs.google.com/spreadsheets/d/10OvvATaaLtwErnr3qtWFcTmtbfpFEt5Bsqel9sXx0uE/edit?usp=sharing"",""งานกองทุน!K81"")"),8360.84)</f>
        <v>8360.84</v>
      </c>
      <c r="K780" s="47">
        <f t="shared" ca="1" si="468"/>
        <v>3.4550530363476386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IFERROR(__xludf.DUMMYFUNCTION("IMPORTRANGE(""https://docs.google.com/spreadsheets/d/10OvvATaaLtwErnr3qtWFcTmtbfpFEt5Bsqel9sXx0uE/edit?usp=sharing"",""งานกองทุน!H81"")"),10)</f>
        <v>10</v>
      </c>
      <c r="J781" s="37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t="shared" ca="1" si="468"/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IFERROR(__xludf.DUMMYFUNCTION("IMPORTRANGE(""https://docs.google.com/spreadsheets/d/10OvvATaaLtwErnr3qtWFcTmtbfpFEt5Bsqel9sXx0uE/edit?usp=sharing"",""งานกองทุน!N81"")"),32084.12)</f>
        <v>32084.12</v>
      </c>
      <c r="J782" s="372">
        <f ca="1">IFERROR(__xludf.DUMMYFUNCTION("IMPORTRANGE(""https://docs.google.com/spreadsheets/d/10OvvATaaLtwErnr3qtWFcTmtbfpFEt5Bsqel9sXx0uE/edit?usp=sharing"",""งานกองทุน!P81"")"),20406.89)</f>
        <v>20406.89</v>
      </c>
      <c r="K782" s="47">
        <f t="shared" ca="1" si="468"/>
        <v>63.604331363927081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IFERROR(__xludf.DUMMYFUNCTION("IMPORTRANGE(""https://docs.google.com/spreadsheets/d/10OvvATaaLtwErnr3qtWFcTmtbfpFEt5Bsqel9sXx0uE/edit?usp=sharing"",""งานกองทุน!M81"")"),51)</f>
        <v>51</v>
      </c>
      <c r="J783" s="372">
        <f ca="1">IFERROR(__xludf.DUMMYFUNCTION("IMPORTRANGE(""https://docs.google.com/spreadsheets/d/10OvvATaaLtwErnr3qtWFcTmtbfpFEt5Bsqel9sXx0uE/edit?usp=sharing"",""งานกองทุน!O81"")"),36)</f>
        <v>36</v>
      </c>
      <c r="K783" s="47">
        <f t="shared" ca="1" si="468"/>
        <v>70.588235294117652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IFERROR(__xludf.DUMMYFUNCTION("IMPORTRANGE(""https://docs.google.com/spreadsheets/d/10OvvATaaLtwErnr3qtWFcTmtbfpFEt5Bsqel9sXx0uE/edit?usp=sharing"",""งานกองทุน!S81"")"),756000)</f>
        <v>756000</v>
      </c>
      <c r="J784" s="37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t="shared" ca="1" si="468"/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IFERROR(__xludf.DUMMYFUNCTION("IMPORTRANGE(""https://docs.google.com/spreadsheets/d/10OvvATaaLtwErnr3qtWFcTmtbfpFEt5Bsqel9sXx0uE/edit?usp=sharing"",""งานกองทุน!R81"")"),27)</f>
        <v>27</v>
      </c>
      <c r="J785" s="205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t="shared" ca="1" si="468"/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2" fitToHeight="0" orientation="landscape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640F8-A3EF-41FA-A28F-F562424DB269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21.2851562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564" t="s">
        <v>0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</row>
    <row r="2" spans="1:21" ht="19.5" x14ac:dyDescent="0.3">
      <c r="A2" s="564" t="s">
        <v>327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564"/>
    </row>
    <row r="3" spans="1:21" ht="19.5" x14ac:dyDescent="0.3">
      <c r="A3" s="933" t="s">
        <v>337</v>
      </c>
      <c r="B3" s="933"/>
      <c r="C3" s="933"/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933"/>
      <c r="T3" s="933"/>
      <c r="U3" s="933"/>
    </row>
    <row r="4" spans="1:21" ht="19.5" x14ac:dyDescent="0.3">
      <c r="A4" s="565" t="s">
        <v>4</v>
      </c>
      <c r="B4" s="566"/>
      <c r="C4" s="566"/>
      <c r="D4" s="566"/>
      <c r="E4" s="566"/>
      <c r="F4" s="566"/>
      <c r="G4" s="567"/>
      <c r="H4" s="568" t="s">
        <v>5</v>
      </c>
      <c r="I4" s="569" t="s">
        <v>6</v>
      </c>
      <c r="J4" s="566"/>
      <c r="K4" s="567"/>
      <c r="L4" s="570" t="s">
        <v>2</v>
      </c>
      <c r="M4" s="546"/>
      <c r="N4" s="546"/>
      <c r="O4" s="546"/>
      <c r="P4" s="547"/>
      <c r="Q4" s="548" t="s">
        <v>3</v>
      </c>
      <c r="R4" s="546"/>
      <c r="S4" s="546"/>
      <c r="T4" s="546"/>
      <c r="U4" s="547"/>
    </row>
    <row r="5" spans="1:21" ht="19.5" x14ac:dyDescent="0.3">
      <c r="A5" s="571"/>
      <c r="B5" s="544"/>
      <c r="C5" s="544"/>
      <c r="D5" s="544"/>
      <c r="E5" s="544"/>
      <c r="F5" s="544"/>
      <c r="G5" s="557"/>
      <c r="H5" s="572"/>
      <c r="I5" s="558"/>
      <c r="J5" s="540"/>
      <c r="K5" s="541"/>
      <c r="L5" s="573" t="s">
        <v>7</v>
      </c>
      <c r="M5" s="541"/>
      <c r="N5" s="539" t="s">
        <v>8</v>
      </c>
      <c r="O5" s="540"/>
      <c r="P5" s="541"/>
      <c r="Q5" s="542" t="s">
        <v>7</v>
      </c>
      <c r="R5" s="541"/>
      <c r="S5" s="539" t="s">
        <v>8</v>
      </c>
      <c r="T5" s="540"/>
      <c r="U5" s="541"/>
    </row>
    <row r="6" spans="1:21" ht="19.5" x14ac:dyDescent="0.3">
      <c r="A6" s="558"/>
      <c r="B6" s="540"/>
      <c r="C6" s="540"/>
      <c r="D6" s="540"/>
      <c r="E6" s="540"/>
      <c r="F6" s="540"/>
      <c r="G6" s="541"/>
      <c r="H6" s="574"/>
      <c r="I6" s="575" t="s">
        <v>9</v>
      </c>
      <c r="J6" s="576" t="s">
        <v>10</v>
      </c>
      <c r="K6" s="575" t="s">
        <v>11</v>
      </c>
      <c r="L6" s="577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78"/>
      <c r="B7" s="540"/>
      <c r="C7" s="540"/>
      <c r="D7" s="540"/>
      <c r="E7" s="540"/>
      <c r="F7" s="540"/>
      <c r="G7" s="541"/>
      <c r="H7" s="15"/>
      <c r="I7" s="16"/>
      <c r="J7" s="16"/>
      <c r="K7" s="17"/>
      <c r="L7" s="57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58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58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58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58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58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58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58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58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57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60" t="s">
        <v>17</v>
      </c>
      <c r="B17" s="540"/>
      <c r="C17" s="540"/>
      <c r="D17" s="540"/>
      <c r="E17" s="540"/>
      <c r="F17" s="540"/>
      <c r="G17" s="541"/>
      <c r="H17" s="24"/>
      <c r="I17" s="25"/>
      <c r="J17" s="25"/>
      <c r="K17" s="26"/>
      <c r="L17" s="58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582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583">
        <f t="shared" ref="L18:N18" ca="1" si="0">L19+L20</f>
        <v>3062308</v>
      </c>
      <c r="M18" s="35">
        <f t="shared" ca="1" si="0"/>
        <v>3234760.58</v>
      </c>
      <c r="N18" s="35">
        <f t="shared" ca="1" si="0"/>
        <v>2974228.18</v>
      </c>
      <c r="O18" s="35">
        <f t="shared" ref="O18:O26" ca="1" si="1">IF(L18&gt;0,N18*100/L18,0)</f>
        <v>97.12374392125156</v>
      </c>
      <c r="P18" s="35">
        <f t="shared" ref="P18:P26" ca="1" si="2">IF(M18&gt;0,N18*100/M18,0)</f>
        <v>91.945852140933411</v>
      </c>
      <c r="Q18" s="35">
        <f t="shared" ref="Q18:S18" ca="1" si="3">Q19+Q20</f>
        <v>5145872.24</v>
      </c>
      <c r="R18" s="35">
        <f t="shared" ca="1" si="3"/>
        <v>4885932.91</v>
      </c>
      <c r="S18" s="35">
        <f t="shared" ca="1" si="3"/>
        <v>1159712.9099999999</v>
      </c>
      <c r="T18" s="35">
        <f t="shared" ref="T18:T26" ca="1" si="4">IF(Q18&gt;0,S18*100/Q18,0)</f>
        <v>22.53676064837552</v>
      </c>
      <c r="U18" s="35">
        <f t="shared" ref="U18:U26" ca="1" si="5">IF(R18&gt;0,S18*100/R18,0)</f>
        <v>23.735751827996342</v>
      </c>
    </row>
    <row r="19" spans="1:21" ht="18.75" hidden="1" x14ac:dyDescent="0.25">
      <c r="A19" s="27"/>
      <c r="B19" s="28"/>
      <c r="C19" s="28"/>
      <c r="D19" s="28"/>
      <c r="E19" s="584" t="s">
        <v>20</v>
      </c>
      <c r="F19" s="28"/>
      <c r="G19" s="31"/>
      <c r="H19" s="585" t="s">
        <v>14</v>
      </c>
      <c r="I19" s="33"/>
      <c r="J19" s="33"/>
      <c r="K19" s="34"/>
      <c r="L19" s="586">
        <f t="shared" ref="L19:N20" si="6">L22+L25</f>
        <v>0</v>
      </c>
      <c r="M19" s="38">
        <f t="shared" si="6"/>
        <v>0</v>
      </c>
      <c r="N19" s="38">
        <f t="shared" si="6"/>
        <v>0</v>
      </c>
      <c r="O19" s="38">
        <f t="shared" si="1"/>
        <v>0</v>
      </c>
      <c r="P19" s="38">
        <f t="shared" si="2"/>
        <v>0</v>
      </c>
      <c r="Q19" s="38">
        <f t="shared" ref="Q19:S20" si="7">Q22+Q25</f>
        <v>0</v>
      </c>
      <c r="R19" s="38">
        <f t="shared" si="7"/>
        <v>0</v>
      </c>
      <c r="S19" s="38">
        <f t="shared" si="7"/>
        <v>0</v>
      </c>
      <c r="T19" s="38">
        <f t="shared" si="4"/>
        <v>0</v>
      </c>
      <c r="U19" s="38">
        <f t="shared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587">
        <f t="shared" ca="1" si="6"/>
        <v>3062308</v>
      </c>
      <c r="M20" s="39">
        <f t="shared" ca="1" si="6"/>
        <v>3234760.58</v>
      </c>
      <c r="N20" s="39">
        <f t="shared" ca="1" si="6"/>
        <v>2974228.18</v>
      </c>
      <c r="O20" s="39">
        <f t="shared" ca="1" si="1"/>
        <v>97.12374392125156</v>
      </c>
      <c r="P20" s="39">
        <f t="shared" ca="1" si="2"/>
        <v>91.945852140933411</v>
      </c>
      <c r="Q20" s="39">
        <f t="shared" ca="1" si="7"/>
        <v>5145872.24</v>
      </c>
      <c r="R20" s="39">
        <f t="shared" ca="1" si="7"/>
        <v>4885932.91</v>
      </c>
      <c r="S20" s="39">
        <f t="shared" ca="1" si="7"/>
        <v>1159712.9099999999</v>
      </c>
      <c r="T20" s="39">
        <f t="shared" ca="1" si="4"/>
        <v>22.53676064837552</v>
      </c>
      <c r="U20" s="39">
        <f t="shared" ca="1" si="5"/>
        <v>23.735751827996342</v>
      </c>
    </row>
    <row r="21" spans="1:21" ht="18.75" x14ac:dyDescent="0.25">
      <c r="A21" s="40"/>
      <c r="B21" s="200"/>
      <c r="C21" s="200"/>
      <c r="D21" s="42" t="s">
        <v>22</v>
      </c>
      <c r="E21" s="200"/>
      <c r="F21" s="200"/>
      <c r="G21" s="43"/>
      <c r="H21" s="44" t="s">
        <v>14</v>
      </c>
      <c r="I21" s="45"/>
      <c r="J21" s="45"/>
      <c r="K21" s="46"/>
      <c r="L21" s="588">
        <f t="shared" ref="L21:N21" ca="1" si="8">L22+L23</f>
        <v>3062308</v>
      </c>
      <c r="M21" s="47">
        <f t="shared" ca="1" si="8"/>
        <v>3234760.58</v>
      </c>
      <c r="N21" s="47">
        <f t="shared" ca="1" si="8"/>
        <v>2974228.18</v>
      </c>
      <c r="O21" s="47">
        <f t="shared" ca="1" si="1"/>
        <v>97.12374392125156</v>
      </c>
      <c r="P21" s="47">
        <f t="shared" ca="1" si="2"/>
        <v>91.945852140933411</v>
      </c>
      <c r="Q21" s="47">
        <f t="shared" ref="Q21:S21" ca="1" si="9">Q22+Q23</f>
        <v>1535872.24</v>
      </c>
      <c r="R21" s="47">
        <f t="shared" ca="1" si="9"/>
        <v>1275932.9099999999</v>
      </c>
      <c r="S21" s="47">
        <f t="shared" ca="1" si="9"/>
        <v>1159712.9099999999</v>
      </c>
      <c r="T21" s="47">
        <f t="shared" ca="1" si="4"/>
        <v>75.508423148529587</v>
      </c>
      <c r="U21" s="47">
        <f t="shared" ca="1" si="5"/>
        <v>90.891370612895301</v>
      </c>
    </row>
    <row r="22" spans="1:21" ht="18.75" hidden="1" x14ac:dyDescent="0.25">
      <c r="A22" s="40"/>
      <c r="B22" s="200"/>
      <c r="C22" s="200"/>
      <c r="D22" s="200"/>
      <c r="E22" s="158" t="s">
        <v>20</v>
      </c>
      <c r="F22" s="200"/>
      <c r="G22" s="43"/>
      <c r="H22" s="589" t="s">
        <v>14</v>
      </c>
      <c r="I22" s="45"/>
      <c r="J22" s="45"/>
      <c r="K22" s="46"/>
      <c r="L22" s="590">
        <f t="shared" ref="L22:N22" si="10">L48+L63+L76+L98+L129+L143+L161+L190+L177+L270+L286+L307+L324+L337+L360+L517</f>
        <v>0</v>
      </c>
      <c r="M22" s="49">
        <f t="shared" si="10"/>
        <v>0</v>
      </c>
      <c r="N22" s="49">
        <f t="shared" si="10"/>
        <v>0</v>
      </c>
      <c r="O22" s="49">
        <f t="shared" si="1"/>
        <v>0</v>
      </c>
      <c r="P22" s="49">
        <f t="shared" si="2"/>
        <v>0</v>
      </c>
      <c r="Q22" s="49">
        <f t="shared" ref="Q22:S23" si="11">Q76+Q98+Q121+Q143+Q161+Q177+Q190+Q270+Q286+Q307+Q337+Q379+Q396+Q417+Q497+Q603+Q620+Q646+Q694+Q718+Q732+Q764</f>
        <v>0</v>
      </c>
      <c r="R22" s="49">
        <f t="shared" si="11"/>
        <v>0</v>
      </c>
      <c r="S22" s="49">
        <f t="shared" si="11"/>
        <v>0</v>
      </c>
      <c r="T22" s="49">
        <f t="shared" si="4"/>
        <v>0</v>
      </c>
      <c r="U22" s="49">
        <f t="shared" si="5"/>
        <v>0</v>
      </c>
    </row>
    <row r="23" spans="1:21" ht="18.75" hidden="1" x14ac:dyDescent="0.25">
      <c r="A23" s="40"/>
      <c r="B23" s="200"/>
      <c r="C23" s="200"/>
      <c r="D23" s="200"/>
      <c r="E23" s="271" t="s">
        <v>21</v>
      </c>
      <c r="F23" s="200"/>
      <c r="G23" s="43"/>
      <c r="H23" s="44" t="s">
        <v>14</v>
      </c>
      <c r="I23" s="45"/>
      <c r="J23" s="45"/>
      <c r="K23" s="46"/>
      <c r="L23" s="588">
        <f t="shared" ref="L23:N23" ca="1" si="12">L49+L64+L77+L99+L122+L144+L162+L191+L178+L271+L287+L308+L325+L338+L361+L380+L418+L498+L518+L539+L560+L581+L604+L621+L647+L695+L719+L733+L765</f>
        <v>3062308</v>
      </c>
      <c r="M23" s="47">
        <f t="shared" ca="1" si="12"/>
        <v>3234760.58</v>
      </c>
      <c r="N23" s="47">
        <f t="shared" ca="1" si="12"/>
        <v>2974228.18</v>
      </c>
      <c r="O23" s="47">
        <f t="shared" ca="1" si="1"/>
        <v>97.12374392125156</v>
      </c>
      <c r="P23" s="47">
        <f t="shared" ca="1" si="2"/>
        <v>91.945852140933411</v>
      </c>
      <c r="Q23" s="47">
        <f t="shared" ca="1" si="11"/>
        <v>1535872.24</v>
      </c>
      <c r="R23" s="47">
        <f t="shared" ca="1" si="11"/>
        <v>1275932.9099999999</v>
      </c>
      <c r="S23" s="47">
        <f t="shared" ca="1" si="11"/>
        <v>1159712.9099999999</v>
      </c>
      <c r="T23" s="47">
        <f t="shared" ca="1" si="4"/>
        <v>75.508423148529587</v>
      </c>
      <c r="U23" s="47">
        <f t="shared" ca="1" si="5"/>
        <v>90.891370612895301</v>
      </c>
    </row>
    <row r="24" spans="1:21" ht="18.75" x14ac:dyDescent="0.25">
      <c r="A24" s="40"/>
      <c r="B24" s="200"/>
      <c r="C24" s="200"/>
      <c r="D24" s="42" t="s">
        <v>23</v>
      </c>
      <c r="E24" s="200"/>
      <c r="F24" s="200"/>
      <c r="G24" s="43"/>
      <c r="H24" s="44" t="s">
        <v>14</v>
      </c>
      <c r="I24" s="45"/>
      <c r="J24" s="45"/>
      <c r="K24" s="46"/>
      <c r="L24" s="588">
        <f t="shared" ref="L24:N24" ca="1" si="13">L25+L26</f>
        <v>0</v>
      </c>
      <c r="M24" s="47">
        <f t="shared" ca="1" si="13"/>
        <v>0</v>
      </c>
      <c r="N24" s="47">
        <f t="shared" ca="1" si="13"/>
        <v>0</v>
      </c>
      <c r="O24" s="47">
        <f t="shared" ca="1" si="1"/>
        <v>0</v>
      </c>
      <c r="P24" s="47">
        <f t="shared" ca="1" si="2"/>
        <v>0</v>
      </c>
      <c r="Q24" s="47">
        <f t="shared" ref="Q24:S24" ca="1" si="14">Q25+Q26</f>
        <v>3610000</v>
      </c>
      <c r="R24" s="47">
        <f t="shared" ca="1" si="14"/>
        <v>3610000</v>
      </c>
      <c r="S24" s="47">
        <f t="shared" ca="1" si="14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200"/>
      <c r="C25" s="200"/>
      <c r="D25" s="200"/>
      <c r="E25" s="158" t="s">
        <v>20</v>
      </c>
      <c r="F25" s="200"/>
      <c r="G25" s="43"/>
      <c r="H25" s="589" t="s">
        <v>14</v>
      </c>
      <c r="I25" s="45"/>
      <c r="J25" s="45"/>
      <c r="K25" s="46"/>
      <c r="L25" s="590">
        <f t="shared" ref="L25:N25" si="15">L51+L66+L79+L101+L132+L146+L164+L193+L180+L273+L289+L310+L327+L340+L363+L520</f>
        <v>0</v>
      </c>
      <c r="M25" s="49">
        <f t="shared" si="15"/>
        <v>0</v>
      </c>
      <c r="N25" s="49">
        <f t="shared" si="15"/>
        <v>0</v>
      </c>
      <c r="O25" s="49">
        <f t="shared" si="1"/>
        <v>0</v>
      </c>
      <c r="P25" s="49">
        <f t="shared" si="2"/>
        <v>0</v>
      </c>
      <c r="Q25" s="49">
        <f t="shared" ref="Q25:S26" si="16">Q79+Q101+Q124+Q146+Q164+Q180+Q193+Q273+Q289+Q310+Q340+Q382+Q399+Q420+Q500+Q606+Q623+Q649+Q697+Q721+Q735+Q767</f>
        <v>0</v>
      </c>
      <c r="R25" s="49">
        <f t="shared" si="16"/>
        <v>0</v>
      </c>
      <c r="S25" s="49">
        <f t="shared" si="16"/>
        <v>0</v>
      </c>
      <c r="T25" s="49">
        <f t="shared" si="4"/>
        <v>0</v>
      </c>
      <c r="U25" s="49">
        <f t="shared" si="5"/>
        <v>0</v>
      </c>
    </row>
    <row r="26" spans="1:21" ht="18.75" hidden="1" x14ac:dyDescent="0.25">
      <c r="A26" s="40"/>
      <c r="B26" s="200"/>
      <c r="C26" s="200"/>
      <c r="D26" s="200"/>
      <c r="E26" s="271" t="s">
        <v>21</v>
      </c>
      <c r="F26" s="200"/>
      <c r="G26" s="43"/>
      <c r="H26" s="44" t="s">
        <v>14</v>
      </c>
      <c r="I26" s="45"/>
      <c r="J26" s="45"/>
      <c r="K26" s="46"/>
      <c r="L26" s="588">
        <f t="shared" ref="L26:N26" ca="1" si="17">L52+L67+L80+L102+L125+L147+L165+L194+L181+L274+L290+L311+L328+L341+L364+L383+L421+L501+L521+L542+L563+L584+L607+L624+L650+L698+L722+L736+L768</f>
        <v>0</v>
      </c>
      <c r="M26" s="47">
        <f t="shared" ca="1" si="17"/>
        <v>0</v>
      </c>
      <c r="N26" s="47">
        <f t="shared" ca="1" si="17"/>
        <v>0</v>
      </c>
      <c r="O26" s="47">
        <f t="shared" ca="1" si="1"/>
        <v>0</v>
      </c>
      <c r="P26" s="47">
        <f t="shared" ca="1" si="2"/>
        <v>0</v>
      </c>
      <c r="Q26" s="49">
        <f t="shared" ca="1" si="16"/>
        <v>3610000</v>
      </c>
      <c r="R26" s="49">
        <f t="shared" ca="1" si="16"/>
        <v>3610000</v>
      </c>
      <c r="S26" s="49">
        <f t="shared" ca="1" si="16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200"/>
      <c r="C27" s="200"/>
      <c r="D27" s="42" t="s">
        <v>24</v>
      </c>
      <c r="E27" s="200"/>
      <c r="F27" s="200"/>
      <c r="G27" s="43"/>
      <c r="H27" s="44" t="s">
        <v>14</v>
      </c>
      <c r="I27" s="45"/>
      <c r="J27" s="45"/>
      <c r="K27" s="46"/>
      <c r="L27" s="591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200"/>
      <c r="C28" s="200"/>
      <c r="D28" s="200"/>
      <c r="E28" s="158" t="s">
        <v>20</v>
      </c>
      <c r="F28" s="200"/>
      <c r="G28" s="43"/>
      <c r="H28" s="589" t="s">
        <v>14</v>
      </c>
      <c r="I28" s="45"/>
      <c r="J28" s="45"/>
      <c r="K28" s="46"/>
      <c r="L28" s="591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203" t="s">
        <v>21</v>
      </c>
      <c r="F29" s="1"/>
      <c r="G29" s="53"/>
      <c r="H29" s="54" t="s">
        <v>14</v>
      </c>
      <c r="I29" s="55"/>
      <c r="J29" s="55"/>
      <c r="K29" s="4"/>
      <c r="L29" s="592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78"/>
      <c r="B30" s="540"/>
      <c r="C30" s="540"/>
      <c r="D30" s="540"/>
      <c r="E30" s="540"/>
      <c r="F30" s="540"/>
      <c r="G30" s="541"/>
      <c r="H30" s="15"/>
      <c r="I30" s="16"/>
      <c r="J30" s="16"/>
      <c r="K30" s="17"/>
      <c r="L30" s="57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58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58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58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58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58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58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58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58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57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593">
        <f t="shared" ref="L40:N40" ca="1" si="18">L44+L59+L72+L94+L125+L139+L157+L173+L186+L266+L282+L303+L320+L333+L356</f>
        <v>2627945</v>
      </c>
      <c r="M40" s="594">
        <f t="shared" ca="1" si="18"/>
        <v>2800397.58</v>
      </c>
      <c r="N40" s="594">
        <f t="shared" ca="1" si="18"/>
        <v>2579436.25</v>
      </c>
      <c r="O40" s="594">
        <f ca="1">IF(L40&gt;0,N40*100/L40,0)</f>
        <v>98.154118522267396</v>
      </c>
      <c r="P40" s="594">
        <f ca="1">IF(M40&gt;0,N40*100/M40,0)</f>
        <v>92.109644302720753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595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596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58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597" t="s">
        <v>18</v>
      </c>
      <c r="D44" s="598" t="s">
        <v>19</v>
      </c>
      <c r="E44" s="72"/>
      <c r="F44" s="72"/>
      <c r="G44" s="75"/>
      <c r="H44" s="76" t="s">
        <v>14</v>
      </c>
      <c r="I44" s="77"/>
      <c r="J44" s="77"/>
      <c r="K44" s="78"/>
      <c r="L44" s="599">
        <f t="shared" ref="L44:N44" ca="1" si="19">L45+L46</f>
        <v>570200</v>
      </c>
      <c r="M44" s="79">
        <f t="shared" ca="1" si="19"/>
        <v>548202.57999999996</v>
      </c>
      <c r="N44" s="79">
        <f t="shared" ca="1" si="19"/>
        <v>542202.57999999996</v>
      </c>
      <c r="O44" s="79">
        <f t="shared" ref="O44:O52" ca="1" si="20">IF(L44&gt;0,N44*100/L44,0)</f>
        <v>95.089894773763575</v>
      </c>
      <c r="P44" s="79">
        <f t="shared" ref="P44:P52" ca="1" si="21">IF(M44&gt;0,N44*100/M44,0)</f>
        <v>98.905514089335369</v>
      </c>
      <c r="Q44" s="79">
        <f t="shared" ref="Q44:S44" si="22">Q45+Q46</f>
        <v>0</v>
      </c>
      <c r="R44" s="79">
        <f t="shared" si="22"/>
        <v>0</v>
      </c>
      <c r="S44" s="79">
        <f t="shared" si="22"/>
        <v>0</v>
      </c>
      <c r="T44" s="79">
        <f t="shared" ref="T44:T52" si="23">IF(Q44&gt;0,S44*100/Q44,0)</f>
        <v>0</v>
      </c>
      <c r="U44" s="79">
        <f t="shared" ref="U44:U52" si="24">IF(R44&gt;0,S44*100/R44,0)</f>
        <v>0</v>
      </c>
    </row>
    <row r="45" spans="1:21" ht="18.75" hidden="1" x14ac:dyDescent="0.25">
      <c r="A45" s="71"/>
      <c r="B45" s="72"/>
      <c r="C45" s="72"/>
      <c r="D45" s="72"/>
      <c r="E45" s="600" t="s">
        <v>20</v>
      </c>
      <c r="F45" s="72"/>
      <c r="G45" s="75"/>
      <c r="H45" s="601" t="s">
        <v>14</v>
      </c>
      <c r="I45" s="77"/>
      <c r="J45" s="77"/>
      <c r="K45" s="78"/>
      <c r="L45" s="602">
        <f t="shared" ref="L45:N46" si="25">L48+L51</f>
        <v>0</v>
      </c>
      <c r="M45" s="82">
        <f t="shared" si="25"/>
        <v>0</v>
      </c>
      <c r="N45" s="82">
        <f t="shared" si="25"/>
        <v>0</v>
      </c>
      <c r="O45" s="82">
        <f t="shared" si="20"/>
        <v>0</v>
      </c>
      <c r="P45" s="82">
        <f t="shared" si="21"/>
        <v>0</v>
      </c>
      <c r="Q45" s="82">
        <f t="shared" ref="Q45:S46" si="26">Q48+Q51</f>
        <v>0</v>
      </c>
      <c r="R45" s="82">
        <f t="shared" si="26"/>
        <v>0</v>
      </c>
      <c r="S45" s="82">
        <f t="shared" si="26"/>
        <v>0</v>
      </c>
      <c r="T45" s="82">
        <f t="shared" si="23"/>
        <v>0</v>
      </c>
      <c r="U45" s="82">
        <f t="shared" si="24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603">
        <f t="shared" ca="1" si="25"/>
        <v>570200</v>
      </c>
      <c r="M46" s="83">
        <f t="shared" ca="1" si="25"/>
        <v>548202.57999999996</v>
      </c>
      <c r="N46" s="83">
        <f t="shared" ca="1" si="25"/>
        <v>542202.57999999996</v>
      </c>
      <c r="O46" s="83">
        <f t="shared" ca="1" si="20"/>
        <v>95.089894773763575</v>
      </c>
      <c r="P46" s="83">
        <f t="shared" ca="1" si="21"/>
        <v>98.905514089335369</v>
      </c>
      <c r="Q46" s="83">
        <f t="shared" si="26"/>
        <v>0</v>
      </c>
      <c r="R46" s="83">
        <f t="shared" si="26"/>
        <v>0</v>
      </c>
      <c r="S46" s="83">
        <f t="shared" si="26"/>
        <v>0</v>
      </c>
      <c r="T46" s="83">
        <f t="shared" si="23"/>
        <v>0</v>
      </c>
      <c r="U46" s="83">
        <f t="shared" si="24"/>
        <v>0</v>
      </c>
    </row>
    <row r="47" spans="1:21" ht="18.75" x14ac:dyDescent="0.25">
      <c r="A47" s="40"/>
      <c r="B47" s="200"/>
      <c r="C47" s="200"/>
      <c r="D47" s="42" t="s">
        <v>22</v>
      </c>
      <c r="E47" s="200"/>
      <c r="F47" s="200"/>
      <c r="G47" s="43"/>
      <c r="H47" s="44" t="s">
        <v>14</v>
      </c>
      <c r="I47" s="45"/>
      <c r="J47" s="45"/>
      <c r="K47" s="46"/>
      <c r="L47" s="588">
        <f t="shared" ref="L47:N47" ca="1" si="27">L48+L49</f>
        <v>570200</v>
      </c>
      <c r="M47" s="47">
        <f t="shared" ca="1" si="27"/>
        <v>548202.57999999996</v>
      </c>
      <c r="N47" s="47">
        <f t="shared" ca="1" si="27"/>
        <v>542202.57999999996</v>
      </c>
      <c r="O47" s="47">
        <f t="shared" ca="1" si="20"/>
        <v>95.089894773763575</v>
      </c>
      <c r="P47" s="47">
        <f t="shared" ca="1" si="21"/>
        <v>98.905514089335369</v>
      </c>
      <c r="Q47" s="47">
        <f t="shared" ref="Q47:S47" si="28">Q48+Q49</f>
        <v>0</v>
      </c>
      <c r="R47" s="47">
        <f t="shared" si="28"/>
        <v>0</v>
      </c>
      <c r="S47" s="47">
        <f t="shared" si="28"/>
        <v>0</v>
      </c>
      <c r="T47" s="47">
        <f t="shared" si="23"/>
        <v>0</v>
      </c>
      <c r="U47" s="47">
        <f t="shared" si="24"/>
        <v>0</v>
      </c>
    </row>
    <row r="48" spans="1:21" ht="18.75" hidden="1" x14ac:dyDescent="0.25">
      <c r="A48" s="40"/>
      <c r="B48" s="200"/>
      <c r="C48" s="200"/>
      <c r="D48" s="200"/>
      <c r="E48" s="158" t="s">
        <v>20</v>
      </c>
      <c r="F48" s="200"/>
      <c r="G48" s="43"/>
      <c r="H48" s="589" t="s">
        <v>14</v>
      </c>
      <c r="I48" s="45"/>
      <c r="J48" s="45"/>
      <c r="K48" s="46"/>
      <c r="L48" s="590">
        <v>0</v>
      </c>
      <c r="M48" s="49">
        <v>0</v>
      </c>
      <c r="N48" s="49">
        <v>0</v>
      </c>
      <c r="O48" s="49">
        <f t="shared" si="20"/>
        <v>0</v>
      </c>
      <c r="P48" s="49">
        <f t="shared" si="21"/>
        <v>0</v>
      </c>
      <c r="Q48" s="49">
        <v>0</v>
      </c>
      <c r="R48" s="49">
        <v>0</v>
      </c>
      <c r="S48" s="49">
        <v>0</v>
      </c>
      <c r="T48" s="49">
        <f t="shared" si="23"/>
        <v>0</v>
      </c>
      <c r="U48" s="49">
        <f t="shared" si="24"/>
        <v>0</v>
      </c>
    </row>
    <row r="49" spans="1:21" ht="18.75" hidden="1" x14ac:dyDescent="0.25">
      <c r="A49" s="40"/>
      <c r="B49" s="200"/>
      <c r="C49" s="200"/>
      <c r="D49" s="200"/>
      <c r="E49" s="271" t="s">
        <v>21</v>
      </c>
      <c r="F49" s="200"/>
      <c r="G49" s="43"/>
      <c r="H49" s="44" t="s">
        <v>14</v>
      </c>
      <c r="I49" s="45"/>
      <c r="J49" s="45"/>
      <c r="K49" s="46"/>
      <c r="L49" s="588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IFERROR(__xludf.DUMMYFUNCTION("IMPORTRANGE(""https://docs.google.com/spreadsheets/d/1-uDff_7J0KD5mKrp0Vvzr7lt3OU09vwQwhkpOPPYv2Y/edit?usp=sharing"",""งบพรบ!V82"")"),548202.58)</f>
        <v>548202.57999999996</v>
      </c>
      <c r="N49" s="47">
        <f ca="1">IFERROR(__xludf.DUMMYFUNCTION("IMPORTRANGE(""https://docs.google.com/spreadsheets/d/1-uDff_7J0KD5mKrp0Vvzr7lt3OU09vwQwhkpOPPYv2Y/edit?usp=sharing"",""งบพรบ!Y82"")"),542202.58)</f>
        <v>542202.57999999996</v>
      </c>
      <c r="O49" s="47">
        <f t="shared" ca="1" si="20"/>
        <v>95.089894773763575</v>
      </c>
      <c r="P49" s="47">
        <f t="shared" ca="1" si="21"/>
        <v>98.905514089335369</v>
      </c>
      <c r="Q49" s="47">
        <v>0</v>
      </c>
      <c r="R49" s="47">
        <v>0</v>
      </c>
      <c r="S49" s="47">
        <v>0</v>
      </c>
      <c r="T49" s="47">
        <f t="shared" si="23"/>
        <v>0</v>
      </c>
      <c r="U49" s="47">
        <f t="shared" si="24"/>
        <v>0</v>
      </c>
    </row>
    <row r="50" spans="1:21" ht="18.75" x14ac:dyDescent="0.25">
      <c r="A50" s="40"/>
      <c r="B50" s="200"/>
      <c r="C50" s="200"/>
      <c r="D50" s="42" t="s">
        <v>23</v>
      </c>
      <c r="E50" s="200"/>
      <c r="F50" s="200"/>
      <c r="G50" s="43"/>
      <c r="H50" s="44" t="s">
        <v>14</v>
      </c>
      <c r="I50" s="45"/>
      <c r="J50" s="45"/>
      <c r="K50" s="46"/>
      <c r="L50" s="588">
        <f t="shared" ref="L50:N50" ca="1" si="29">L51+L52</f>
        <v>0</v>
      </c>
      <c r="M50" s="47">
        <f t="shared" ca="1" si="29"/>
        <v>0</v>
      </c>
      <c r="N50" s="47">
        <f t="shared" ca="1" si="29"/>
        <v>0</v>
      </c>
      <c r="O50" s="47">
        <f t="shared" ca="1" si="20"/>
        <v>0</v>
      </c>
      <c r="P50" s="47">
        <f t="shared" ca="1" si="21"/>
        <v>0</v>
      </c>
      <c r="Q50" s="47">
        <f t="shared" ref="Q50:S50" si="30">Q51+Q52</f>
        <v>0</v>
      </c>
      <c r="R50" s="47">
        <f t="shared" si="30"/>
        <v>0</v>
      </c>
      <c r="S50" s="47">
        <f t="shared" si="30"/>
        <v>0</v>
      </c>
      <c r="T50" s="47">
        <f t="shared" si="23"/>
        <v>0</v>
      </c>
      <c r="U50" s="47">
        <f t="shared" si="24"/>
        <v>0</v>
      </c>
    </row>
    <row r="51" spans="1:21" ht="18.75" hidden="1" x14ac:dyDescent="0.25">
      <c r="A51" s="40"/>
      <c r="B51" s="200"/>
      <c r="C51" s="200"/>
      <c r="D51" s="200"/>
      <c r="E51" s="158" t="s">
        <v>20</v>
      </c>
      <c r="F51" s="200"/>
      <c r="G51" s="43"/>
      <c r="H51" s="589" t="s">
        <v>14</v>
      </c>
      <c r="I51" s="45"/>
      <c r="J51" s="45"/>
      <c r="K51" s="46"/>
      <c r="L51" s="590">
        <v>0</v>
      </c>
      <c r="M51" s="49">
        <v>0</v>
      </c>
      <c r="N51" s="49">
        <v>0</v>
      </c>
      <c r="O51" s="49">
        <f t="shared" si="20"/>
        <v>0</v>
      </c>
      <c r="P51" s="49">
        <f t="shared" si="21"/>
        <v>0</v>
      </c>
      <c r="Q51" s="49">
        <v>0</v>
      </c>
      <c r="R51" s="49">
        <v>0</v>
      </c>
      <c r="S51" s="49">
        <v>0</v>
      </c>
      <c r="T51" s="49">
        <f t="shared" si="23"/>
        <v>0</v>
      </c>
      <c r="U51" s="49">
        <f t="shared" si="24"/>
        <v>0</v>
      </c>
    </row>
    <row r="52" spans="1:21" ht="18.75" hidden="1" x14ac:dyDescent="0.25">
      <c r="A52" s="40"/>
      <c r="B52" s="200"/>
      <c r="C52" s="200"/>
      <c r="D52" s="200"/>
      <c r="E52" s="271" t="s">
        <v>21</v>
      </c>
      <c r="F52" s="200"/>
      <c r="G52" s="43"/>
      <c r="H52" s="44" t="s">
        <v>14</v>
      </c>
      <c r="I52" s="45"/>
      <c r="J52" s="45"/>
      <c r="K52" s="46"/>
      <c r="L52" s="588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t="shared" ca="1" si="20"/>
        <v>0</v>
      </c>
      <c r="P52" s="47">
        <f t="shared" ca="1" si="21"/>
        <v>0</v>
      </c>
      <c r="Q52" s="47">
        <v>0</v>
      </c>
      <c r="R52" s="47">
        <v>0</v>
      </c>
      <c r="S52" s="47">
        <v>0</v>
      </c>
      <c r="T52" s="47">
        <f t="shared" si="23"/>
        <v>0</v>
      </c>
      <c r="U52" s="47">
        <f t="shared" si="24"/>
        <v>0</v>
      </c>
    </row>
    <row r="53" spans="1:21" ht="18.75" hidden="1" x14ac:dyDescent="0.25">
      <c r="A53" s="40"/>
      <c r="B53" s="200"/>
      <c r="C53" s="200"/>
      <c r="D53" s="42" t="s">
        <v>24</v>
      </c>
      <c r="E53" s="200"/>
      <c r="F53" s="200"/>
      <c r="G53" s="43"/>
      <c r="H53" s="44" t="s">
        <v>14</v>
      </c>
      <c r="I53" s="45"/>
      <c r="J53" s="45"/>
      <c r="K53" s="46"/>
      <c r="L53" s="591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200"/>
      <c r="C54" s="200"/>
      <c r="D54" s="200"/>
      <c r="E54" s="158" t="s">
        <v>20</v>
      </c>
      <c r="F54" s="200"/>
      <c r="G54" s="43"/>
      <c r="H54" s="589" t="s">
        <v>14</v>
      </c>
      <c r="I54" s="45"/>
      <c r="J54" s="45"/>
      <c r="K54" s="46"/>
      <c r="L54" s="591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203" t="s">
        <v>21</v>
      </c>
      <c r="F55" s="1"/>
      <c r="G55" s="53"/>
      <c r="H55" s="54" t="s">
        <v>14</v>
      </c>
      <c r="I55" s="55"/>
      <c r="J55" s="55"/>
      <c r="K55" s="4"/>
      <c r="L55" s="592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61" t="s">
        <v>28</v>
      </c>
      <c r="B56" s="540"/>
      <c r="C56" s="540"/>
      <c r="D56" s="540"/>
      <c r="E56" s="540"/>
      <c r="F56" s="540"/>
      <c r="G56" s="541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62" t="s">
        <v>29</v>
      </c>
      <c r="C57" s="552"/>
      <c r="D57" s="552"/>
      <c r="E57" s="552"/>
      <c r="F57" s="552"/>
      <c r="G57" s="553"/>
      <c r="H57" s="89"/>
      <c r="I57" s="90"/>
      <c r="J57" s="90"/>
      <c r="K57" s="91"/>
      <c r="L57" s="604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605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606" t="s">
        <v>18</v>
      </c>
      <c r="D59" s="607" t="s">
        <v>19</v>
      </c>
      <c r="E59" s="99"/>
      <c r="F59" s="99"/>
      <c r="G59" s="102"/>
      <c r="H59" s="103" t="s">
        <v>14</v>
      </c>
      <c r="I59" s="104"/>
      <c r="J59" s="104"/>
      <c r="K59" s="105"/>
      <c r="L59" s="608">
        <f t="shared" ref="L59:N59" ca="1" si="31">L60+L61</f>
        <v>615700</v>
      </c>
      <c r="M59" s="106">
        <f t="shared" ca="1" si="31"/>
        <v>689230</v>
      </c>
      <c r="N59" s="106">
        <f t="shared" ca="1" si="31"/>
        <v>655117.99</v>
      </c>
      <c r="O59" s="106">
        <f t="shared" ref="O59:O67" ca="1" si="32">IF(L59&gt;0,N59*100/L59,0)</f>
        <v>106.402142277083</v>
      </c>
      <c r="P59" s="106">
        <f t="shared" ref="P59:P67" ca="1" si="33">IF(M59&gt;0,N59*100/M59,0)</f>
        <v>95.050707311057266</v>
      </c>
      <c r="Q59" s="106">
        <f t="shared" ref="Q59:S59" si="34">Q60+Q61</f>
        <v>0</v>
      </c>
      <c r="R59" s="106">
        <f t="shared" si="34"/>
        <v>0</v>
      </c>
      <c r="S59" s="106">
        <f t="shared" si="34"/>
        <v>0</v>
      </c>
      <c r="T59" s="106">
        <f t="shared" ref="T59:T67" si="35">IF(Q59&gt;0,S59*100/Q59,0)</f>
        <v>0</v>
      </c>
      <c r="U59" s="106">
        <f t="shared" ref="U59:U67" si="36">IF(R59&gt;0,S59*100/R59,0)</f>
        <v>0</v>
      </c>
    </row>
    <row r="60" spans="1:21" ht="18.75" hidden="1" x14ac:dyDescent="0.25">
      <c r="A60" s="98"/>
      <c r="B60" s="99"/>
      <c r="C60" s="99"/>
      <c r="D60" s="99"/>
      <c r="E60" s="609" t="s">
        <v>20</v>
      </c>
      <c r="F60" s="99"/>
      <c r="G60" s="102"/>
      <c r="H60" s="610" t="s">
        <v>14</v>
      </c>
      <c r="I60" s="104"/>
      <c r="J60" s="104"/>
      <c r="K60" s="105"/>
      <c r="L60" s="611">
        <f t="shared" ref="L60:N61" si="37">L63+L66</f>
        <v>0</v>
      </c>
      <c r="M60" s="110">
        <f t="shared" si="37"/>
        <v>0</v>
      </c>
      <c r="N60" s="110">
        <f t="shared" si="37"/>
        <v>0</v>
      </c>
      <c r="O60" s="110">
        <f t="shared" si="32"/>
        <v>0</v>
      </c>
      <c r="P60" s="110">
        <f t="shared" si="33"/>
        <v>0</v>
      </c>
      <c r="Q60" s="110">
        <f t="shared" ref="Q60:S61" si="38">Q63+Q66</f>
        <v>0</v>
      </c>
      <c r="R60" s="110">
        <f t="shared" si="38"/>
        <v>0</v>
      </c>
      <c r="S60" s="110">
        <f t="shared" si="38"/>
        <v>0</v>
      </c>
      <c r="T60" s="110">
        <f t="shared" si="35"/>
        <v>0</v>
      </c>
      <c r="U60" s="110">
        <f t="shared" si="36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612">
        <f t="shared" ca="1" si="37"/>
        <v>615700</v>
      </c>
      <c r="M61" s="109">
        <f t="shared" ca="1" si="37"/>
        <v>689230</v>
      </c>
      <c r="N61" s="109">
        <f t="shared" ca="1" si="37"/>
        <v>655117.99</v>
      </c>
      <c r="O61" s="109">
        <f t="shared" ca="1" si="32"/>
        <v>106.402142277083</v>
      </c>
      <c r="P61" s="109">
        <f t="shared" ca="1" si="33"/>
        <v>95.050707311057266</v>
      </c>
      <c r="Q61" s="109">
        <f t="shared" si="38"/>
        <v>0</v>
      </c>
      <c r="R61" s="109">
        <f t="shared" si="38"/>
        <v>0</v>
      </c>
      <c r="S61" s="109">
        <f t="shared" si="38"/>
        <v>0</v>
      </c>
      <c r="T61" s="109">
        <f t="shared" si="35"/>
        <v>0</v>
      </c>
      <c r="U61" s="109">
        <f t="shared" si="36"/>
        <v>0</v>
      </c>
    </row>
    <row r="62" spans="1:21" ht="18.75" x14ac:dyDescent="0.25">
      <c r="A62" s="40"/>
      <c r="B62" s="200"/>
      <c r="C62" s="200"/>
      <c r="D62" s="42" t="s">
        <v>22</v>
      </c>
      <c r="E62" s="200"/>
      <c r="F62" s="200"/>
      <c r="G62" s="43"/>
      <c r="H62" s="44" t="s">
        <v>14</v>
      </c>
      <c r="I62" s="45"/>
      <c r="J62" s="45"/>
      <c r="K62" s="46"/>
      <c r="L62" s="588">
        <f t="shared" ref="L62:N62" ca="1" si="39">L63+L64</f>
        <v>615700</v>
      </c>
      <c r="M62" s="47">
        <f t="shared" ca="1" si="39"/>
        <v>689230</v>
      </c>
      <c r="N62" s="47">
        <f t="shared" ca="1" si="39"/>
        <v>655117.99</v>
      </c>
      <c r="O62" s="47">
        <f t="shared" ca="1" si="32"/>
        <v>106.402142277083</v>
      </c>
      <c r="P62" s="47">
        <f t="shared" ca="1" si="33"/>
        <v>95.050707311057266</v>
      </c>
      <c r="Q62" s="47">
        <f t="shared" ref="Q62:S62" si="40">Q63+Q64</f>
        <v>0</v>
      </c>
      <c r="R62" s="47">
        <f t="shared" si="40"/>
        <v>0</v>
      </c>
      <c r="S62" s="47">
        <f t="shared" si="40"/>
        <v>0</v>
      </c>
      <c r="T62" s="47">
        <f t="shared" si="35"/>
        <v>0</v>
      </c>
      <c r="U62" s="47">
        <f t="shared" si="36"/>
        <v>0</v>
      </c>
    </row>
    <row r="63" spans="1:21" ht="18.75" hidden="1" x14ac:dyDescent="0.25">
      <c r="A63" s="40"/>
      <c r="B63" s="200"/>
      <c r="C63" s="200"/>
      <c r="D63" s="200"/>
      <c r="E63" s="158" t="s">
        <v>20</v>
      </c>
      <c r="F63" s="200"/>
      <c r="G63" s="43"/>
      <c r="H63" s="589" t="s">
        <v>14</v>
      </c>
      <c r="I63" s="45"/>
      <c r="J63" s="45"/>
      <c r="K63" s="46"/>
      <c r="L63" s="590">
        <v>0</v>
      </c>
      <c r="M63" s="49">
        <v>0</v>
      </c>
      <c r="N63" s="49">
        <v>0</v>
      </c>
      <c r="O63" s="49">
        <f t="shared" si="32"/>
        <v>0</v>
      </c>
      <c r="P63" s="49">
        <f t="shared" si="33"/>
        <v>0</v>
      </c>
      <c r="Q63" s="49">
        <v>0</v>
      </c>
      <c r="R63" s="49">
        <v>0</v>
      </c>
      <c r="S63" s="49">
        <v>0</v>
      </c>
      <c r="T63" s="49">
        <f t="shared" si="35"/>
        <v>0</v>
      </c>
      <c r="U63" s="49">
        <f t="shared" si="36"/>
        <v>0</v>
      </c>
    </row>
    <row r="64" spans="1:21" ht="18.75" hidden="1" x14ac:dyDescent="0.25">
      <c r="A64" s="40"/>
      <c r="B64" s="200"/>
      <c r="C64" s="200"/>
      <c r="D64" s="200"/>
      <c r="E64" s="271" t="s">
        <v>21</v>
      </c>
      <c r="F64" s="200"/>
      <c r="G64" s="43"/>
      <c r="H64" s="44" t="s">
        <v>14</v>
      </c>
      <c r="I64" s="45"/>
      <c r="J64" s="45"/>
      <c r="K64" s="46"/>
      <c r="L64" s="588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IFERROR(__xludf.DUMMYFUNCTION("IMPORTRANGE(""https://docs.google.com/spreadsheets/d/1-uDff_7J0KD5mKrp0Vvzr7lt3OU09vwQwhkpOPPYv2Y/edit?usp=sharing"",""งบพรบ!AH82"")"),689230)</f>
        <v>689230</v>
      </c>
      <c r="N64" s="47">
        <f ca="1">IFERROR(__xludf.DUMMYFUNCTION("IMPORTRANGE(""https://docs.google.com/spreadsheets/d/1-uDff_7J0KD5mKrp0Vvzr7lt3OU09vwQwhkpOPPYv2Y/edit?usp=sharing"",""งบพรบ!AJ82"")"),655117.99)</f>
        <v>655117.99</v>
      </c>
      <c r="O64" s="47">
        <f t="shared" ca="1" si="32"/>
        <v>106.402142277083</v>
      </c>
      <c r="P64" s="47">
        <f t="shared" ca="1" si="33"/>
        <v>95.050707311057266</v>
      </c>
      <c r="Q64" s="47">
        <v>0</v>
      </c>
      <c r="R64" s="47">
        <v>0</v>
      </c>
      <c r="S64" s="47">
        <v>0</v>
      </c>
      <c r="T64" s="47">
        <f t="shared" si="35"/>
        <v>0</v>
      </c>
      <c r="U64" s="47">
        <f t="shared" si="36"/>
        <v>0</v>
      </c>
    </row>
    <row r="65" spans="1:21" ht="18.75" x14ac:dyDescent="0.25">
      <c r="A65" s="40"/>
      <c r="B65" s="200"/>
      <c r="C65" s="200"/>
      <c r="D65" s="42" t="s">
        <v>23</v>
      </c>
      <c r="E65" s="200"/>
      <c r="F65" s="200"/>
      <c r="G65" s="43"/>
      <c r="H65" s="44" t="s">
        <v>14</v>
      </c>
      <c r="I65" s="45"/>
      <c r="J65" s="45"/>
      <c r="K65" s="46"/>
      <c r="L65" s="588">
        <f t="shared" ref="L65:N65" ca="1" si="41">L66+L67</f>
        <v>0</v>
      </c>
      <c r="M65" s="47">
        <f t="shared" ca="1" si="41"/>
        <v>0</v>
      </c>
      <c r="N65" s="47">
        <f t="shared" ca="1" si="41"/>
        <v>0</v>
      </c>
      <c r="O65" s="47">
        <f t="shared" ca="1" si="32"/>
        <v>0</v>
      </c>
      <c r="P65" s="47">
        <f t="shared" ca="1" si="33"/>
        <v>0</v>
      </c>
      <c r="Q65" s="47">
        <f t="shared" ref="Q65:S65" si="42">Q66+Q67</f>
        <v>0</v>
      </c>
      <c r="R65" s="47">
        <f t="shared" si="42"/>
        <v>0</v>
      </c>
      <c r="S65" s="47">
        <f t="shared" si="42"/>
        <v>0</v>
      </c>
      <c r="T65" s="47">
        <f t="shared" si="35"/>
        <v>0</v>
      </c>
      <c r="U65" s="47">
        <f t="shared" si="36"/>
        <v>0</v>
      </c>
    </row>
    <row r="66" spans="1:21" ht="18.75" hidden="1" x14ac:dyDescent="0.25">
      <c r="A66" s="40"/>
      <c r="B66" s="200"/>
      <c r="C66" s="200"/>
      <c r="D66" s="200"/>
      <c r="E66" s="158" t="s">
        <v>20</v>
      </c>
      <c r="F66" s="200"/>
      <c r="G66" s="43"/>
      <c r="H66" s="589" t="s">
        <v>14</v>
      </c>
      <c r="I66" s="45"/>
      <c r="J66" s="45"/>
      <c r="K66" s="46"/>
      <c r="L66" s="590">
        <v>0</v>
      </c>
      <c r="M66" s="49">
        <v>0</v>
      </c>
      <c r="N66" s="49">
        <v>0</v>
      </c>
      <c r="O66" s="49">
        <f t="shared" si="32"/>
        <v>0</v>
      </c>
      <c r="P66" s="49">
        <f t="shared" si="33"/>
        <v>0</v>
      </c>
      <c r="Q66" s="49">
        <v>0</v>
      </c>
      <c r="R66" s="49">
        <v>0</v>
      </c>
      <c r="S66" s="49">
        <v>0</v>
      </c>
      <c r="T66" s="49">
        <f t="shared" si="35"/>
        <v>0</v>
      </c>
      <c r="U66" s="49">
        <f t="shared" si="36"/>
        <v>0</v>
      </c>
    </row>
    <row r="67" spans="1:21" ht="18.75" hidden="1" x14ac:dyDescent="0.25">
      <c r="A67" s="51"/>
      <c r="B67" s="1"/>
      <c r="C67" s="1"/>
      <c r="D67" s="1"/>
      <c r="E67" s="203" t="s">
        <v>21</v>
      </c>
      <c r="F67" s="1"/>
      <c r="G67" s="53"/>
      <c r="H67" s="54" t="s">
        <v>14</v>
      </c>
      <c r="I67" s="55"/>
      <c r="J67" s="55"/>
      <c r="K67" s="4"/>
      <c r="L67" s="613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t="shared" ca="1" si="32"/>
        <v>0</v>
      </c>
      <c r="P67" s="111">
        <f t="shared" ca="1" si="33"/>
        <v>0</v>
      </c>
      <c r="Q67" s="111">
        <v>0</v>
      </c>
      <c r="R67" s="111">
        <v>0</v>
      </c>
      <c r="S67" s="111">
        <v>0</v>
      </c>
      <c r="T67" s="111">
        <f t="shared" si="35"/>
        <v>0</v>
      </c>
      <c r="U67" s="111">
        <f t="shared" si="36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614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125" t="s">
        <v>33</v>
      </c>
      <c r="C70" s="28"/>
      <c r="D70" s="126"/>
      <c r="E70" s="28"/>
      <c r="F70" s="28"/>
      <c r="G70" s="31"/>
      <c r="H70" s="198" t="s">
        <v>34</v>
      </c>
      <c r="I70" s="128">
        <f t="shared" ref="I70:J71" ca="1" si="43">I82</f>
        <v>1</v>
      </c>
      <c r="J70" s="128">
        <f t="shared" si="43"/>
        <v>1</v>
      </c>
      <c r="K70" s="35">
        <f t="shared" ref="K70:K71" ca="1" si="44">IF(I70&gt;0,J70*100/I70,0)</f>
        <v>100</v>
      </c>
      <c r="L70" s="615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6"/>
      <c r="E71" s="28"/>
      <c r="F71" s="28"/>
      <c r="G71" s="31"/>
      <c r="H71" s="198" t="s">
        <v>35</v>
      </c>
      <c r="I71" s="128">
        <f t="shared" ca="1" si="43"/>
        <v>30</v>
      </c>
      <c r="J71" s="128">
        <f t="shared" si="43"/>
        <v>30</v>
      </c>
      <c r="K71" s="35">
        <f t="shared" ca="1" si="44"/>
        <v>100</v>
      </c>
      <c r="L71" s="615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9"/>
      <c r="B72" s="200"/>
      <c r="C72" s="409" t="s">
        <v>18</v>
      </c>
      <c r="D72" s="616" t="s">
        <v>19</v>
      </c>
      <c r="E72" s="200"/>
      <c r="F72" s="200"/>
      <c r="G72" s="43"/>
      <c r="H72" s="132" t="s">
        <v>14</v>
      </c>
      <c r="I72" s="45"/>
      <c r="J72" s="45"/>
      <c r="K72" s="46"/>
      <c r="L72" s="617">
        <f t="shared" ref="L72:N72" ca="1" si="45">L73+L74</f>
        <v>503900</v>
      </c>
      <c r="M72" s="133">
        <f t="shared" ca="1" si="45"/>
        <v>503900</v>
      </c>
      <c r="N72" s="133">
        <f t="shared" ca="1" si="45"/>
        <v>489600</v>
      </c>
      <c r="O72" s="133">
        <f t="shared" ref="O72:O80" ca="1" si="46">IF(L72&gt;0,N72*100/L72,0)</f>
        <v>97.162135344314351</v>
      </c>
      <c r="P72" s="133">
        <f t="shared" ref="P72:P80" ca="1" si="47">IF(M72&gt;0,N72*100/M72,0)</f>
        <v>97.162135344314351</v>
      </c>
      <c r="Q72" s="133">
        <f t="shared" ref="Q72:S72" ca="1" si="48">Q73+Q74</f>
        <v>344592</v>
      </c>
      <c r="R72" s="133">
        <f t="shared" ca="1" si="48"/>
        <v>209592</v>
      </c>
      <c r="S72" s="133">
        <f t="shared" ca="1" si="48"/>
        <v>198042</v>
      </c>
      <c r="T72" s="133">
        <f t="shared" ref="T72:T80" ca="1" si="49">IF(Q72&gt;0,S72*100/Q72,0)</f>
        <v>57.471444490876166</v>
      </c>
      <c r="U72" s="133">
        <f t="shared" ref="U72:U80" ca="1" si="50">IF(R72&gt;0,S72*100/R72,0)</f>
        <v>94.489293484484136</v>
      </c>
    </row>
    <row r="73" spans="1:21" ht="18.75" hidden="1" x14ac:dyDescent="0.25">
      <c r="A73" s="129"/>
      <c r="B73" s="200"/>
      <c r="C73" s="200"/>
      <c r="D73" s="200"/>
      <c r="E73" s="158" t="s">
        <v>20</v>
      </c>
      <c r="F73" s="200"/>
      <c r="G73" s="43"/>
      <c r="H73" s="159" t="s">
        <v>14</v>
      </c>
      <c r="I73" s="45"/>
      <c r="J73" s="45"/>
      <c r="K73" s="46"/>
      <c r="L73" s="590">
        <f t="shared" ref="L73:N74" si="51">L76+L79</f>
        <v>0</v>
      </c>
      <c r="M73" s="49">
        <f t="shared" si="51"/>
        <v>0</v>
      </c>
      <c r="N73" s="49">
        <f t="shared" si="51"/>
        <v>0</v>
      </c>
      <c r="O73" s="49">
        <f t="shared" si="46"/>
        <v>0</v>
      </c>
      <c r="P73" s="49">
        <f t="shared" si="47"/>
        <v>0</v>
      </c>
      <c r="Q73" s="49">
        <f t="shared" ref="Q73:S74" si="52">Q76+Q79</f>
        <v>0</v>
      </c>
      <c r="R73" s="49">
        <f t="shared" si="52"/>
        <v>0</v>
      </c>
      <c r="S73" s="49">
        <f t="shared" si="52"/>
        <v>0</v>
      </c>
      <c r="T73" s="49">
        <f t="shared" si="49"/>
        <v>0</v>
      </c>
      <c r="U73" s="49">
        <f t="shared" si="50"/>
        <v>0</v>
      </c>
    </row>
    <row r="74" spans="1:21" ht="18.75" hidden="1" x14ac:dyDescent="0.25">
      <c r="A74" s="129"/>
      <c r="B74" s="200"/>
      <c r="C74" s="200"/>
      <c r="D74" s="200"/>
      <c r="E74" s="271" t="s">
        <v>21</v>
      </c>
      <c r="F74" s="200"/>
      <c r="G74" s="43"/>
      <c r="H74" s="134" t="s">
        <v>14</v>
      </c>
      <c r="I74" s="45"/>
      <c r="J74" s="45"/>
      <c r="K74" s="46"/>
      <c r="L74" s="588">
        <f t="shared" ca="1" si="51"/>
        <v>503900</v>
      </c>
      <c r="M74" s="47">
        <f t="shared" ca="1" si="51"/>
        <v>503900</v>
      </c>
      <c r="N74" s="47">
        <f t="shared" ca="1" si="51"/>
        <v>489600</v>
      </c>
      <c r="O74" s="47">
        <f t="shared" ca="1" si="46"/>
        <v>97.162135344314351</v>
      </c>
      <c r="P74" s="47">
        <f t="shared" ca="1" si="47"/>
        <v>97.162135344314351</v>
      </c>
      <c r="Q74" s="47">
        <f t="shared" ca="1" si="52"/>
        <v>344592</v>
      </c>
      <c r="R74" s="47">
        <f t="shared" ca="1" si="52"/>
        <v>209592</v>
      </c>
      <c r="S74" s="47">
        <f t="shared" ca="1" si="52"/>
        <v>198042</v>
      </c>
      <c r="T74" s="47">
        <f t="shared" ca="1" si="49"/>
        <v>57.471444490876166</v>
      </c>
      <c r="U74" s="47">
        <f t="shared" ca="1" si="50"/>
        <v>94.489293484484136</v>
      </c>
    </row>
    <row r="75" spans="1:21" ht="18.75" x14ac:dyDescent="0.25">
      <c r="A75" s="129"/>
      <c r="B75" s="200"/>
      <c r="C75" s="200"/>
      <c r="D75" s="42" t="s">
        <v>22</v>
      </c>
      <c r="E75" s="200"/>
      <c r="F75" s="200"/>
      <c r="G75" s="43"/>
      <c r="H75" s="135" t="s">
        <v>14</v>
      </c>
      <c r="I75" s="136"/>
      <c r="J75" s="136"/>
      <c r="K75" s="137"/>
      <c r="L75" s="588">
        <f t="shared" ref="L75:N75" ca="1" si="53">L76+L77</f>
        <v>503900</v>
      </c>
      <c r="M75" s="47">
        <f t="shared" ca="1" si="53"/>
        <v>503900</v>
      </c>
      <c r="N75" s="47">
        <f t="shared" ca="1" si="53"/>
        <v>489600</v>
      </c>
      <c r="O75" s="47">
        <f t="shared" ca="1" si="46"/>
        <v>97.162135344314351</v>
      </c>
      <c r="P75" s="47">
        <f t="shared" ca="1" si="47"/>
        <v>97.162135344314351</v>
      </c>
      <c r="Q75" s="47">
        <f t="shared" ref="Q75:S75" ca="1" si="54">Q76+Q77</f>
        <v>344592</v>
      </c>
      <c r="R75" s="47">
        <f t="shared" ca="1" si="54"/>
        <v>209592</v>
      </c>
      <c r="S75" s="47">
        <f t="shared" ca="1" si="54"/>
        <v>198042</v>
      </c>
      <c r="T75" s="47">
        <f t="shared" ca="1" si="49"/>
        <v>57.471444490876166</v>
      </c>
      <c r="U75" s="47">
        <f t="shared" ca="1" si="50"/>
        <v>94.489293484484136</v>
      </c>
    </row>
    <row r="76" spans="1:21" ht="18.75" hidden="1" x14ac:dyDescent="0.25">
      <c r="A76" s="129"/>
      <c r="B76" s="200"/>
      <c r="C76" s="200"/>
      <c r="D76" s="200"/>
      <c r="E76" s="158" t="s">
        <v>36</v>
      </c>
      <c r="F76" s="200"/>
      <c r="G76" s="43"/>
      <c r="H76" s="161" t="s">
        <v>14</v>
      </c>
      <c r="I76" s="136"/>
      <c r="J76" s="136"/>
      <c r="K76" s="137"/>
      <c r="L76" s="590">
        <v>0</v>
      </c>
      <c r="M76" s="49">
        <v>0</v>
      </c>
      <c r="N76" s="49">
        <v>0</v>
      </c>
      <c r="O76" s="49">
        <f t="shared" si="46"/>
        <v>0</v>
      </c>
      <c r="P76" s="49">
        <f t="shared" si="47"/>
        <v>0</v>
      </c>
      <c r="Q76" s="49">
        <v>0</v>
      </c>
      <c r="R76" s="49">
        <v>0</v>
      </c>
      <c r="S76" s="49">
        <v>0</v>
      </c>
      <c r="T76" s="49">
        <f t="shared" si="49"/>
        <v>0</v>
      </c>
      <c r="U76" s="49">
        <f t="shared" si="50"/>
        <v>0</v>
      </c>
    </row>
    <row r="77" spans="1:21" ht="18.75" hidden="1" x14ac:dyDescent="0.25">
      <c r="A77" s="129"/>
      <c r="B77" s="200"/>
      <c r="C77" s="200"/>
      <c r="D77" s="200"/>
      <c r="E77" s="271" t="s">
        <v>37</v>
      </c>
      <c r="F77" s="200"/>
      <c r="G77" s="43"/>
      <c r="H77" s="135" t="s">
        <v>14</v>
      </c>
      <c r="I77" s="136"/>
      <c r="J77" s="136"/>
      <c r="K77" s="137"/>
      <c r="L77" s="588">
        <f ca="1">IFERROR(__xludf.DUMMYFUNCTION("IMPORTRANGE(""https://docs.google.com/spreadsheets/d/1-uDff_7J0KD5mKrp0Vvzr7lt3OU09vwQwhkpOPPYv2Y/edit?usp=sharing"",""งบพรบ!AM82"")"),503900)</f>
        <v>503900</v>
      </c>
      <c r="M77" s="47">
        <f ca="1">IFERROR(__xludf.DUMMYFUNCTION("IMPORTRANGE(""https://docs.google.com/spreadsheets/d/1-uDff_7J0KD5mKrp0Vvzr7lt3OU09vwQwhkpOPPYv2Y/edit?usp=sharing"",""งบพรบ!AR82"")"),503900)</f>
        <v>503900</v>
      </c>
      <c r="N77" s="47">
        <f ca="1">IFERROR(__xludf.DUMMYFUNCTION("IMPORTRANGE(""https://docs.google.com/spreadsheets/d/1-uDff_7J0KD5mKrp0Vvzr7lt3OU09vwQwhkpOPPYv2Y/edit?usp=sharing"",""งบพรบ!AT82"")"),489600)</f>
        <v>489600</v>
      </c>
      <c r="O77" s="47">
        <f t="shared" ca="1" si="46"/>
        <v>97.162135344314351</v>
      </c>
      <c r="P77" s="47">
        <f t="shared" ca="1" si="47"/>
        <v>97.162135344314351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IFERROR(__xludf.DUMMYFUNCTION("IMPORTRANGE(""https://docs.google.com/spreadsheets/d/1ItG2mGa2ceCfYo0BwxsXqNm01IGEUdYcSSLTEv9YCik/edit?usp=sharing"",""เบิกจ่ายกองทุน!BI82"")"),209592)</f>
        <v>209592</v>
      </c>
      <c r="S77" s="47">
        <f ca="1">IFERROR(__xludf.DUMMYFUNCTION("IMPORTRANGE(""https://docs.google.com/spreadsheets/d/1ItG2mGa2ceCfYo0BwxsXqNm01IGEUdYcSSLTEv9YCik/edit?usp=sharing"",""เบิกจ่ายกองทุน!BJ82"")"),198042)</f>
        <v>198042</v>
      </c>
      <c r="T77" s="47">
        <f t="shared" ca="1" si="49"/>
        <v>57.471444490876166</v>
      </c>
      <c r="U77" s="47">
        <f t="shared" ca="1" si="50"/>
        <v>94.489293484484136</v>
      </c>
    </row>
    <row r="78" spans="1:21" ht="18.75" x14ac:dyDescent="0.25">
      <c r="A78" s="129"/>
      <c r="B78" s="200"/>
      <c r="C78" s="200"/>
      <c r="D78" s="42" t="s">
        <v>23</v>
      </c>
      <c r="E78" s="200"/>
      <c r="F78" s="200"/>
      <c r="G78" s="43"/>
      <c r="H78" s="138" t="s">
        <v>14</v>
      </c>
      <c r="I78" s="136"/>
      <c r="J78" s="136"/>
      <c r="K78" s="137"/>
      <c r="L78" s="588">
        <f t="shared" ref="L78:N78" ca="1" si="55">L79+L80</f>
        <v>0</v>
      </c>
      <c r="M78" s="47">
        <f t="shared" ca="1" si="55"/>
        <v>0</v>
      </c>
      <c r="N78" s="47">
        <f t="shared" ca="1" si="55"/>
        <v>0</v>
      </c>
      <c r="O78" s="47">
        <f t="shared" ca="1" si="46"/>
        <v>0</v>
      </c>
      <c r="P78" s="47">
        <f t="shared" ca="1" si="47"/>
        <v>0</v>
      </c>
      <c r="Q78" s="47">
        <f t="shared" ref="Q78:S78" ca="1" si="56">Q79+Q80</f>
        <v>0</v>
      </c>
      <c r="R78" s="47">
        <f t="shared" ca="1" si="56"/>
        <v>0</v>
      </c>
      <c r="S78" s="47">
        <f t="shared" ca="1" si="56"/>
        <v>0</v>
      </c>
      <c r="T78" s="47">
        <f t="shared" ca="1" si="49"/>
        <v>0</v>
      </c>
      <c r="U78" s="47">
        <f t="shared" ca="1" si="50"/>
        <v>0</v>
      </c>
    </row>
    <row r="79" spans="1:21" ht="18.75" hidden="1" x14ac:dyDescent="0.25">
      <c r="A79" s="129"/>
      <c r="B79" s="200"/>
      <c r="C79" s="200"/>
      <c r="D79" s="200"/>
      <c r="E79" s="158" t="s">
        <v>20</v>
      </c>
      <c r="F79" s="200"/>
      <c r="G79" s="43"/>
      <c r="H79" s="161" t="s">
        <v>14</v>
      </c>
      <c r="I79" s="136"/>
      <c r="J79" s="136"/>
      <c r="K79" s="137"/>
      <c r="L79" s="590">
        <v>0</v>
      </c>
      <c r="M79" s="47">
        <v>0</v>
      </c>
      <c r="N79" s="47">
        <v>0</v>
      </c>
      <c r="O79" s="49">
        <f t="shared" si="46"/>
        <v>0</v>
      </c>
      <c r="P79" s="49">
        <f t="shared" si="47"/>
        <v>0</v>
      </c>
      <c r="Q79" s="49">
        <v>0</v>
      </c>
      <c r="R79" s="47">
        <v>0</v>
      </c>
      <c r="S79" s="47">
        <v>0</v>
      </c>
      <c r="T79" s="49">
        <f t="shared" si="49"/>
        <v>0</v>
      </c>
      <c r="U79" s="49">
        <f t="shared" si="50"/>
        <v>0</v>
      </c>
    </row>
    <row r="80" spans="1:21" ht="18.75" hidden="1" x14ac:dyDescent="0.25">
      <c r="A80" s="129"/>
      <c r="B80" s="200"/>
      <c r="C80" s="200"/>
      <c r="D80" s="200"/>
      <c r="E80" s="271" t="s">
        <v>21</v>
      </c>
      <c r="F80" s="200"/>
      <c r="G80" s="43"/>
      <c r="H80" s="138" t="s">
        <v>14</v>
      </c>
      <c r="I80" s="136"/>
      <c r="J80" s="136"/>
      <c r="K80" s="137"/>
      <c r="L80" s="588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t="shared" ca="1" si="46"/>
        <v>0</v>
      </c>
      <c r="P80" s="47">
        <f t="shared" ca="1" si="47"/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t="shared" ca="1" si="49"/>
        <v>0</v>
      </c>
      <c r="U80" s="47">
        <f t="shared" ca="1" si="50"/>
        <v>0</v>
      </c>
    </row>
    <row r="81" spans="1:21" ht="19.5" x14ac:dyDescent="0.3">
      <c r="A81" s="139"/>
      <c r="B81" s="140"/>
      <c r="C81" s="409" t="s">
        <v>18</v>
      </c>
      <c r="D81" s="618" t="s">
        <v>38</v>
      </c>
      <c r="E81" s="142"/>
      <c r="F81" s="142"/>
      <c r="G81" s="143"/>
      <c r="H81" s="144"/>
      <c r="I81" s="136"/>
      <c r="J81" s="136"/>
      <c r="K81" s="137"/>
      <c r="L81" s="619"/>
      <c r="M81" s="137"/>
      <c r="N81" s="137"/>
      <c r="O81" s="137"/>
      <c r="P81" s="137"/>
      <c r="Q81" s="137"/>
      <c r="R81" s="137"/>
      <c r="S81" s="137"/>
      <c r="T81" s="137"/>
      <c r="U81" s="137"/>
    </row>
    <row r="82" spans="1:21" ht="19.5" x14ac:dyDescent="0.3">
      <c r="A82" s="139"/>
      <c r="B82" s="140"/>
      <c r="C82" s="140"/>
      <c r="D82" s="145" t="s">
        <v>39</v>
      </c>
      <c r="E82" s="170"/>
      <c r="F82" s="170"/>
      <c r="G82" s="144"/>
      <c r="H82" s="147" t="s">
        <v>34</v>
      </c>
      <c r="I82" s="371">
        <f t="shared" ref="I82:J83" ca="1" si="57">I84+I86+I88</f>
        <v>1</v>
      </c>
      <c r="J82" s="371">
        <f t="shared" si="57"/>
        <v>1</v>
      </c>
      <c r="K82" s="149">
        <f t="shared" ref="K82:K90" ca="1" si="58">IF(I82&gt;0,J82*100/I82,0)</f>
        <v>100</v>
      </c>
      <c r="L82" s="619"/>
      <c r="M82" s="137"/>
      <c r="N82" s="137"/>
      <c r="O82" s="137"/>
      <c r="P82" s="137"/>
      <c r="Q82" s="137"/>
      <c r="R82" s="137"/>
      <c r="S82" s="137"/>
      <c r="T82" s="137"/>
      <c r="U82" s="137"/>
    </row>
    <row r="83" spans="1:21" ht="19.5" x14ac:dyDescent="0.3">
      <c r="A83" s="139"/>
      <c r="B83" s="140"/>
      <c r="C83" s="140"/>
      <c r="D83" s="140"/>
      <c r="E83" s="170"/>
      <c r="F83" s="170"/>
      <c r="G83" s="144"/>
      <c r="H83" s="147" t="s">
        <v>35</v>
      </c>
      <c r="I83" s="371">
        <f t="shared" ca="1" si="57"/>
        <v>30</v>
      </c>
      <c r="J83" s="371">
        <f t="shared" si="57"/>
        <v>30</v>
      </c>
      <c r="K83" s="149">
        <f t="shared" ca="1" si="58"/>
        <v>100</v>
      </c>
      <c r="L83" s="619"/>
      <c r="M83" s="137"/>
      <c r="N83" s="137"/>
      <c r="O83" s="137"/>
      <c r="P83" s="137"/>
      <c r="Q83" s="137"/>
      <c r="R83" s="137"/>
      <c r="S83" s="137"/>
      <c r="T83" s="137"/>
      <c r="U83" s="137"/>
    </row>
    <row r="84" spans="1:21" ht="18.75" x14ac:dyDescent="0.25">
      <c r="A84" s="139"/>
      <c r="B84" s="140"/>
      <c r="C84" s="140"/>
      <c r="D84" s="140"/>
      <c r="E84" s="303" t="s">
        <v>40</v>
      </c>
      <c r="F84" s="170"/>
      <c r="G84" s="144"/>
      <c r="H84" s="248" t="s">
        <v>34</v>
      </c>
      <c r="I84" s="152">
        <f ca="1">IFERROR(__xludf.DUMMYFUNCTION("IMPORTRANGE(""https://docs.google.com/spreadsheets/d/1eHaY18a8A9IcSdp1K8H6x8fbOy06t2VsZHhMHf-1x7Y/edit?usp=sharing"",""แผน!H82"")"),0)</f>
        <v>0</v>
      </c>
      <c r="J84" s="169">
        <v>0</v>
      </c>
      <c r="K84" s="154">
        <f t="shared" ca="1" si="58"/>
        <v>0</v>
      </c>
      <c r="L84" s="619"/>
      <c r="M84" s="137"/>
      <c r="N84" s="137"/>
      <c r="O84" s="137"/>
      <c r="P84" s="137"/>
      <c r="Q84" s="137"/>
      <c r="R84" s="137"/>
      <c r="S84" s="137"/>
      <c r="T84" s="137"/>
      <c r="U84" s="137"/>
    </row>
    <row r="85" spans="1:21" ht="18.75" x14ac:dyDescent="0.25">
      <c r="A85" s="139"/>
      <c r="B85" s="140"/>
      <c r="C85" s="140"/>
      <c r="D85" s="140"/>
      <c r="E85" s="170"/>
      <c r="F85" s="170"/>
      <c r="G85" s="144"/>
      <c r="H85" s="248" t="s">
        <v>35</v>
      </c>
      <c r="I85" s="152">
        <f ca="1">IFERROR(__xludf.DUMMYFUNCTION("IMPORTRANGE(""https://docs.google.com/spreadsheets/d/1eHaY18a8A9IcSdp1K8H6x8fbOy06t2VsZHhMHf-1x7Y/edit?usp=sharing"",""แผน!I82"")"),0)</f>
        <v>0</v>
      </c>
      <c r="J85" s="169">
        <v>0</v>
      </c>
      <c r="K85" s="154">
        <f t="shared" ca="1" si="58"/>
        <v>0</v>
      </c>
      <c r="L85" s="619"/>
      <c r="M85" s="137"/>
      <c r="N85" s="137"/>
      <c r="O85" s="137"/>
      <c r="P85" s="137"/>
      <c r="Q85" s="137"/>
      <c r="R85" s="137"/>
      <c r="S85" s="137"/>
      <c r="T85" s="137"/>
      <c r="U85" s="137"/>
    </row>
    <row r="86" spans="1:21" ht="18.75" x14ac:dyDescent="0.25">
      <c r="A86" s="139"/>
      <c r="B86" s="140"/>
      <c r="C86" s="140"/>
      <c r="D86" s="140"/>
      <c r="E86" s="303" t="s">
        <v>41</v>
      </c>
      <c r="F86" s="170"/>
      <c r="G86" s="144"/>
      <c r="H86" s="248" t="s">
        <v>34</v>
      </c>
      <c r="I86" s="152">
        <f ca="1">IFERROR(__xludf.DUMMYFUNCTION("IMPORTRANGE(""https://docs.google.com/spreadsheets/d/1eHaY18a8A9IcSdp1K8H6x8fbOy06t2VsZHhMHf-1x7Y/edit?usp=sharing"",""แผน!F82"")"),0)</f>
        <v>0</v>
      </c>
      <c r="J86" s="169">
        <v>0</v>
      </c>
      <c r="K86" s="154">
        <f t="shared" ca="1" si="58"/>
        <v>0</v>
      </c>
      <c r="L86" s="619"/>
      <c r="M86" s="137"/>
      <c r="N86" s="137"/>
      <c r="O86" s="137"/>
      <c r="P86" s="137"/>
      <c r="Q86" s="137"/>
      <c r="R86" s="137"/>
      <c r="S86" s="137"/>
      <c r="T86" s="137"/>
      <c r="U86" s="137"/>
    </row>
    <row r="87" spans="1:21" ht="18.75" x14ac:dyDescent="0.25">
      <c r="A87" s="139"/>
      <c r="B87" s="140"/>
      <c r="C87" s="140"/>
      <c r="D87" s="140"/>
      <c r="E87" s="170"/>
      <c r="F87" s="170"/>
      <c r="G87" s="144"/>
      <c r="H87" s="248" t="s">
        <v>35</v>
      </c>
      <c r="I87" s="152">
        <f ca="1">IFERROR(__xludf.DUMMYFUNCTION("IMPORTRANGE(""https://docs.google.com/spreadsheets/d/1eHaY18a8A9IcSdp1K8H6x8fbOy06t2VsZHhMHf-1x7Y/edit?usp=sharing"",""แผน!G82"")"),0)</f>
        <v>0</v>
      </c>
      <c r="J87" s="169">
        <v>0</v>
      </c>
      <c r="K87" s="154">
        <f t="shared" ca="1" si="58"/>
        <v>0</v>
      </c>
      <c r="L87" s="619"/>
      <c r="M87" s="137"/>
      <c r="N87" s="137"/>
      <c r="O87" s="137"/>
      <c r="P87" s="137"/>
      <c r="Q87" s="137"/>
      <c r="R87" s="137"/>
      <c r="S87" s="137"/>
      <c r="T87" s="137"/>
      <c r="U87" s="137"/>
    </row>
    <row r="88" spans="1:21" ht="18.75" x14ac:dyDescent="0.25">
      <c r="A88" s="139"/>
      <c r="B88" s="140"/>
      <c r="C88" s="140"/>
      <c r="D88" s="140"/>
      <c r="E88" s="303" t="s">
        <v>42</v>
      </c>
      <c r="F88" s="170"/>
      <c r="G88" s="144"/>
      <c r="H88" s="248" t="s">
        <v>34</v>
      </c>
      <c r="I88" s="152">
        <f ca="1">IFERROR(__xludf.DUMMYFUNCTION("IMPORTRANGE(""https://docs.google.com/spreadsheets/d/1eHaY18a8A9IcSdp1K8H6x8fbOy06t2VsZHhMHf-1x7Y/edit?usp=sharing"",""แผน!D82"")"),1)</f>
        <v>1</v>
      </c>
      <c r="J88" s="169">
        <v>1</v>
      </c>
      <c r="K88" s="154">
        <f t="shared" ca="1" si="58"/>
        <v>100</v>
      </c>
      <c r="L88" s="619"/>
      <c r="M88" s="137"/>
      <c r="N88" s="137"/>
      <c r="O88" s="137"/>
      <c r="P88" s="137"/>
      <c r="Q88" s="137"/>
      <c r="R88" s="137"/>
      <c r="S88" s="137"/>
      <c r="T88" s="137"/>
      <c r="U88" s="137"/>
    </row>
    <row r="89" spans="1:21" ht="18.75" x14ac:dyDescent="0.25">
      <c r="A89" s="139"/>
      <c r="B89" s="140"/>
      <c r="C89" s="140"/>
      <c r="D89" s="140"/>
      <c r="E89" s="170"/>
      <c r="F89" s="170"/>
      <c r="G89" s="144"/>
      <c r="H89" s="248" t="s">
        <v>35</v>
      </c>
      <c r="I89" s="152">
        <f ca="1">IFERROR(__xludf.DUMMYFUNCTION("IMPORTRANGE(""https://docs.google.com/spreadsheets/d/1eHaY18a8A9IcSdp1K8H6x8fbOy06t2VsZHhMHf-1x7Y/edit?usp=sharing"",""แผน!E82"")"),30)</f>
        <v>30</v>
      </c>
      <c r="J89" s="169">
        <v>30</v>
      </c>
      <c r="K89" s="154">
        <f t="shared" ca="1" si="58"/>
        <v>100</v>
      </c>
      <c r="L89" s="619"/>
      <c r="M89" s="137"/>
      <c r="N89" s="137"/>
      <c r="O89" s="137"/>
      <c r="P89" s="137"/>
      <c r="Q89" s="137"/>
      <c r="R89" s="137"/>
      <c r="S89" s="137"/>
      <c r="T89" s="137"/>
      <c r="U89" s="137"/>
    </row>
    <row r="90" spans="1:21" ht="18.75" x14ac:dyDescent="0.25">
      <c r="A90" s="139"/>
      <c r="B90" s="140"/>
      <c r="C90" s="140"/>
      <c r="D90" s="145" t="s">
        <v>43</v>
      </c>
      <c r="E90" s="170"/>
      <c r="F90" s="170"/>
      <c r="G90" s="144"/>
      <c r="H90" s="155" t="s">
        <v>34</v>
      </c>
      <c r="I90" s="152">
        <f ca="1">IFERROR(__xludf.DUMMYFUNCTION("IMPORTRANGE(""https://docs.google.com/spreadsheets/d/1eHaY18a8A9IcSdp1K8H6x8fbOy06t2VsZHhMHf-1x7Y/edit?usp=sharing"",""แผน!J82"")"),1)</f>
        <v>1</v>
      </c>
      <c r="J90" s="169">
        <v>1</v>
      </c>
      <c r="K90" s="154">
        <f t="shared" ca="1" si="58"/>
        <v>100</v>
      </c>
      <c r="L90" s="619"/>
      <c r="M90" s="137"/>
      <c r="N90" s="137"/>
      <c r="O90" s="137"/>
      <c r="P90" s="137"/>
      <c r="Q90" s="137"/>
      <c r="R90" s="137"/>
      <c r="S90" s="137"/>
      <c r="T90" s="137"/>
      <c r="U90" s="137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614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125" t="s">
        <v>45</v>
      </c>
      <c r="C92" s="28"/>
      <c r="D92" s="126"/>
      <c r="E92" s="28"/>
      <c r="F92" s="28"/>
      <c r="G92" s="31"/>
      <c r="H92" s="198" t="s">
        <v>46</v>
      </c>
      <c r="I92" s="128">
        <f t="shared" ref="I92:J93" ca="1" si="59">I108</f>
        <v>30</v>
      </c>
      <c r="J92" s="128">
        <f t="shared" si="59"/>
        <v>30</v>
      </c>
      <c r="K92" s="35">
        <f t="shared" ref="K92:K93" ca="1" si="60">IF(I92&gt;0,J92*100/I92,0)</f>
        <v>100</v>
      </c>
      <c r="L92" s="615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6"/>
      <c r="E93" s="28"/>
      <c r="F93" s="28"/>
      <c r="G93" s="31"/>
      <c r="H93" s="198" t="s">
        <v>35</v>
      </c>
      <c r="I93" s="128">
        <f t="shared" ca="1" si="59"/>
        <v>10</v>
      </c>
      <c r="J93" s="128">
        <f t="shared" si="59"/>
        <v>10</v>
      </c>
      <c r="K93" s="35">
        <f t="shared" ca="1" si="60"/>
        <v>100</v>
      </c>
      <c r="L93" s="615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9"/>
      <c r="B94" s="200"/>
      <c r="C94" s="409" t="s">
        <v>18</v>
      </c>
      <c r="D94" s="616" t="s">
        <v>19</v>
      </c>
      <c r="E94" s="200"/>
      <c r="F94" s="200"/>
      <c r="G94" s="43"/>
      <c r="H94" s="132" t="s">
        <v>14</v>
      </c>
      <c r="I94" s="45"/>
      <c r="J94" s="45"/>
      <c r="K94" s="46"/>
      <c r="L94" s="617">
        <f t="shared" ref="L94:N94" ca="1" si="61">L95+L96</f>
        <v>6000</v>
      </c>
      <c r="M94" s="133">
        <f t="shared" ca="1" si="61"/>
        <v>6000</v>
      </c>
      <c r="N94" s="133">
        <f t="shared" ca="1" si="61"/>
        <v>6000</v>
      </c>
      <c r="O94" s="133">
        <f t="shared" ref="O94:O102" ca="1" si="62">IF(L94&gt;0,N94*100/L94,0)</f>
        <v>100</v>
      </c>
      <c r="P94" s="133">
        <f t="shared" ref="P94:P102" ca="1" si="63">IF(M94&gt;0,N94*100/M94,0)</f>
        <v>100</v>
      </c>
      <c r="Q94" s="133">
        <f t="shared" ref="Q94:S94" ca="1" si="64">Q95+Q96</f>
        <v>84420</v>
      </c>
      <c r="R94" s="133">
        <f t="shared" ca="1" si="64"/>
        <v>53000</v>
      </c>
      <c r="S94" s="133">
        <f t="shared" ca="1" si="64"/>
        <v>53000</v>
      </c>
      <c r="T94" s="133">
        <f t="shared" ref="T94:T102" ca="1" si="65">IF(Q94&gt;0,S94*100/Q94,0)</f>
        <v>62.781331438047857</v>
      </c>
      <c r="U94" s="133">
        <f t="shared" ref="U94:U102" ca="1" si="66">IF(R94&gt;0,S94*100/R94,0)</f>
        <v>100</v>
      </c>
    </row>
    <row r="95" spans="1:21" ht="18.75" hidden="1" x14ac:dyDescent="0.25">
      <c r="A95" s="129"/>
      <c r="B95" s="200"/>
      <c r="C95" s="200"/>
      <c r="D95" s="200"/>
      <c r="E95" s="158" t="s">
        <v>20</v>
      </c>
      <c r="F95" s="200"/>
      <c r="G95" s="43"/>
      <c r="H95" s="159" t="s">
        <v>14</v>
      </c>
      <c r="I95" s="45"/>
      <c r="J95" s="45"/>
      <c r="K95" s="46"/>
      <c r="L95" s="590">
        <f t="shared" ref="L95:N96" si="67">L98+L101</f>
        <v>0</v>
      </c>
      <c r="M95" s="49">
        <f t="shared" si="67"/>
        <v>0</v>
      </c>
      <c r="N95" s="49">
        <f t="shared" si="67"/>
        <v>0</v>
      </c>
      <c r="O95" s="49">
        <f t="shared" si="62"/>
        <v>0</v>
      </c>
      <c r="P95" s="49">
        <f t="shared" si="63"/>
        <v>0</v>
      </c>
      <c r="Q95" s="49">
        <f t="shared" ref="Q95:S96" si="68">Q98+Q101</f>
        <v>0</v>
      </c>
      <c r="R95" s="49">
        <f t="shared" si="68"/>
        <v>0</v>
      </c>
      <c r="S95" s="49">
        <f t="shared" si="68"/>
        <v>0</v>
      </c>
      <c r="T95" s="49">
        <f t="shared" si="65"/>
        <v>0</v>
      </c>
      <c r="U95" s="49">
        <f t="shared" si="66"/>
        <v>0</v>
      </c>
    </row>
    <row r="96" spans="1:21" ht="18.75" hidden="1" x14ac:dyDescent="0.25">
      <c r="A96" s="129"/>
      <c r="B96" s="200"/>
      <c r="C96" s="200"/>
      <c r="D96" s="200"/>
      <c r="E96" s="271" t="s">
        <v>21</v>
      </c>
      <c r="F96" s="200"/>
      <c r="G96" s="43"/>
      <c r="H96" s="134" t="s">
        <v>14</v>
      </c>
      <c r="I96" s="45"/>
      <c r="J96" s="45"/>
      <c r="K96" s="46"/>
      <c r="L96" s="588">
        <f t="shared" ca="1" si="67"/>
        <v>6000</v>
      </c>
      <c r="M96" s="47">
        <f t="shared" ca="1" si="67"/>
        <v>6000</v>
      </c>
      <c r="N96" s="47">
        <f t="shared" ca="1" si="67"/>
        <v>6000</v>
      </c>
      <c r="O96" s="47">
        <f t="shared" ca="1" si="62"/>
        <v>100</v>
      </c>
      <c r="P96" s="47">
        <f t="shared" ca="1" si="63"/>
        <v>100</v>
      </c>
      <c r="Q96" s="47">
        <f t="shared" ca="1" si="68"/>
        <v>84420</v>
      </c>
      <c r="R96" s="47">
        <f t="shared" ca="1" si="68"/>
        <v>53000</v>
      </c>
      <c r="S96" s="47">
        <f t="shared" ca="1" si="68"/>
        <v>53000</v>
      </c>
      <c r="T96" s="47">
        <f t="shared" ca="1" si="65"/>
        <v>62.781331438047857</v>
      </c>
      <c r="U96" s="47">
        <f t="shared" ca="1" si="66"/>
        <v>100</v>
      </c>
    </row>
    <row r="97" spans="1:21" ht="18.75" x14ac:dyDescent="0.25">
      <c r="A97" s="129"/>
      <c r="B97" s="200"/>
      <c r="C97" s="200"/>
      <c r="D97" s="42" t="s">
        <v>22</v>
      </c>
      <c r="E97" s="200"/>
      <c r="F97" s="200"/>
      <c r="G97" s="43"/>
      <c r="H97" s="135" t="s">
        <v>14</v>
      </c>
      <c r="I97" s="136"/>
      <c r="J97" s="136"/>
      <c r="K97" s="137"/>
      <c r="L97" s="588">
        <f t="shared" ref="L97:N97" ca="1" si="69">L98+L99</f>
        <v>6000</v>
      </c>
      <c r="M97" s="47">
        <f t="shared" ca="1" si="69"/>
        <v>6000</v>
      </c>
      <c r="N97" s="47">
        <f t="shared" ca="1" si="69"/>
        <v>6000</v>
      </c>
      <c r="O97" s="47">
        <f t="shared" ca="1" si="62"/>
        <v>100</v>
      </c>
      <c r="P97" s="47">
        <f t="shared" ca="1" si="63"/>
        <v>100</v>
      </c>
      <c r="Q97" s="47">
        <f t="shared" ref="Q97:S97" ca="1" si="70">Q98+Q99</f>
        <v>84420</v>
      </c>
      <c r="R97" s="47">
        <f t="shared" ca="1" si="70"/>
        <v>53000</v>
      </c>
      <c r="S97" s="47">
        <f t="shared" ca="1" si="70"/>
        <v>53000</v>
      </c>
      <c r="T97" s="47">
        <f t="shared" ca="1" si="65"/>
        <v>62.781331438047857</v>
      </c>
      <c r="U97" s="47">
        <f t="shared" ca="1" si="66"/>
        <v>100</v>
      </c>
    </row>
    <row r="98" spans="1:21" ht="18.75" hidden="1" x14ac:dyDescent="0.25">
      <c r="A98" s="129"/>
      <c r="B98" s="200"/>
      <c r="C98" s="200"/>
      <c r="D98" s="200"/>
      <c r="E98" s="158" t="s">
        <v>36</v>
      </c>
      <c r="F98" s="200"/>
      <c r="G98" s="43"/>
      <c r="H98" s="161" t="s">
        <v>14</v>
      </c>
      <c r="I98" s="136"/>
      <c r="J98" s="136"/>
      <c r="K98" s="137"/>
      <c r="L98" s="590">
        <v>0</v>
      </c>
      <c r="M98" s="49">
        <v>0</v>
      </c>
      <c r="N98" s="49">
        <v>0</v>
      </c>
      <c r="O98" s="49">
        <f t="shared" si="62"/>
        <v>0</v>
      </c>
      <c r="P98" s="49">
        <f t="shared" si="63"/>
        <v>0</v>
      </c>
      <c r="Q98" s="49">
        <v>0</v>
      </c>
      <c r="R98" s="49">
        <v>0</v>
      </c>
      <c r="S98" s="49">
        <v>0</v>
      </c>
      <c r="T98" s="49">
        <f t="shared" si="65"/>
        <v>0</v>
      </c>
      <c r="U98" s="49">
        <f t="shared" si="66"/>
        <v>0</v>
      </c>
    </row>
    <row r="99" spans="1:21" ht="18.75" hidden="1" x14ac:dyDescent="0.25">
      <c r="A99" s="129"/>
      <c r="B99" s="200"/>
      <c r="C99" s="200"/>
      <c r="D99" s="200"/>
      <c r="E99" s="271" t="s">
        <v>37</v>
      </c>
      <c r="F99" s="200"/>
      <c r="G99" s="43"/>
      <c r="H99" s="135" t="s">
        <v>14</v>
      </c>
      <c r="I99" s="136"/>
      <c r="J99" s="136"/>
      <c r="K99" s="137"/>
      <c r="L99" s="588">
        <f ca="1">IFERROR(__xludf.DUMMYFUNCTION("IMPORTRANGE(""https://docs.google.com/spreadsheets/d/1-uDff_7J0KD5mKrp0Vvzr7lt3OU09vwQwhkpOPPYv2Y/edit?usp=sharing"",""งบพรบ!AW82"")"),6000)</f>
        <v>6000</v>
      </c>
      <c r="M99" s="47">
        <f ca="1">IFERROR(__xludf.DUMMYFUNCTION("IMPORTRANGE(""https://docs.google.com/spreadsheets/d/1-uDff_7J0KD5mKrp0Vvzr7lt3OU09vwQwhkpOPPYv2Y/edit?usp=sharing"",""งบพรบ!BB82"")"),6000)</f>
        <v>6000</v>
      </c>
      <c r="N99" s="47">
        <f ca="1">IFERROR(__xludf.DUMMYFUNCTION("IMPORTRANGE(""https://docs.google.com/spreadsheets/d/1-uDff_7J0KD5mKrp0Vvzr7lt3OU09vwQwhkpOPPYv2Y/edit?usp=sharing"",""งบพรบ!BD82"")"),6000)</f>
        <v>6000</v>
      </c>
      <c r="O99" s="47">
        <f t="shared" ca="1" si="62"/>
        <v>100</v>
      </c>
      <c r="P99" s="47">
        <f t="shared" ca="1" si="63"/>
        <v>100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IFERROR(__xludf.DUMMYFUNCTION("IMPORTRANGE(""https://docs.google.com/spreadsheets/d/1ItG2mGa2ceCfYo0BwxsXqNm01IGEUdYcSSLTEv9YCik/edit?usp=sharing"",""เบิกจ่ายกองทุน!AK82"")"),53000)</f>
        <v>53000</v>
      </c>
      <c r="S99" s="47">
        <f ca="1">IFERROR(__xludf.DUMMYFUNCTION("IMPORTRANGE(""https://docs.google.com/spreadsheets/d/1ItG2mGa2ceCfYo0BwxsXqNm01IGEUdYcSSLTEv9YCik/edit?usp=sharing"",""เบิกจ่ายกองทุน!AL82"")"),53000)</f>
        <v>53000</v>
      </c>
      <c r="T99" s="47">
        <f t="shared" ca="1" si="65"/>
        <v>62.781331438047857</v>
      </c>
      <c r="U99" s="47">
        <f t="shared" ca="1" si="66"/>
        <v>100</v>
      </c>
    </row>
    <row r="100" spans="1:21" ht="18.75" x14ac:dyDescent="0.25">
      <c r="A100" s="129"/>
      <c r="B100" s="200"/>
      <c r="C100" s="200"/>
      <c r="D100" s="42" t="s">
        <v>23</v>
      </c>
      <c r="E100" s="200"/>
      <c r="F100" s="200"/>
      <c r="G100" s="43"/>
      <c r="H100" s="138" t="s">
        <v>14</v>
      </c>
      <c r="I100" s="136"/>
      <c r="J100" s="136"/>
      <c r="K100" s="137"/>
      <c r="L100" s="588">
        <f t="shared" ref="L100:N100" ca="1" si="71">L101+L102</f>
        <v>0</v>
      </c>
      <c r="M100" s="47">
        <f t="shared" ca="1" si="71"/>
        <v>0</v>
      </c>
      <c r="N100" s="47">
        <f t="shared" ca="1" si="71"/>
        <v>0</v>
      </c>
      <c r="O100" s="47">
        <f t="shared" ca="1" si="62"/>
        <v>0</v>
      </c>
      <c r="P100" s="47">
        <f t="shared" ca="1" si="63"/>
        <v>0</v>
      </c>
      <c r="Q100" s="47">
        <f t="shared" ref="Q100:S100" si="72">Q101+Q102</f>
        <v>0</v>
      </c>
      <c r="R100" s="47">
        <f t="shared" si="72"/>
        <v>0</v>
      </c>
      <c r="S100" s="47">
        <f t="shared" si="72"/>
        <v>0</v>
      </c>
      <c r="T100" s="47">
        <f t="shared" si="65"/>
        <v>0</v>
      </c>
      <c r="U100" s="47">
        <f t="shared" si="66"/>
        <v>0</v>
      </c>
    </row>
    <row r="101" spans="1:21" ht="18.75" hidden="1" x14ac:dyDescent="0.25">
      <c r="A101" s="129"/>
      <c r="B101" s="200"/>
      <c r="C101" s="200"/>
      <c r="D101" s="200"/>
      <c r="E101" s="158" t="s">
        <v>20</v>
      </c>
      <c r="F101" s="200"/>
      <c r="G101" s="43"/>
      <c r="H101" s="161" t="s">
        <v>14</v>
      </c>
      <c r="I101" s="136"/>
      <c r="J101" s="136"/>
      <c r="K101" s="137"/>
      <c r="L101" s="590">
        <v>0</v>
      </c>
      <c r="M101" s="49">
        <v>0</v>
      </c>
      <c r="N101" s="49">
        <v>0</v>
      </c>
      <c r="O101" s="49">
        <f t="shared" si="62"/>
        <v>0</v>
      </c>
      <c r="P101" s="49">
        <f t="shared" si="63"/>
        <v>0</v>
      </c>
      <c r="Q101" s="49">
        <v>0</v>
      </c>
      <c r="R101" s="49">
        <v>0</v>
      </c>
      <c r="S101" s="49">
        <v>0</v>
      </c>
      <c r="T101" s="49">
        <f t="shared" si="65"/>
        <v>0</v>
      </c>
      <c r="U101" s="49">
        <f t="shared" si="66"/>
        <v>0</v>
      </c>
    </row>
    <row r="102" spans="1:21" ht="18.75" hidden="1" x14ac:dyDescent="0.25">
      <c r="A102" s="129"/>
      <c r="B102" s="200"/>
      <c r="C102" s="200"/>
      <c r="D102" s="200"/>
      <c r="E102" s="271" t="s">
        <v>21</v>
      </c>
      <c r="F102" s="200"/>
      <c r="G102" s="43"/>
      <c r="H102" s="138" t="s">
        <v>14</v>
      </c>
      <c r="I102" s="136"/>
      <c r="J102" s="136"/>
      <c r="K102" s="137"/>
      <c r="L102" s="588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t="shared" ca="1" si="62"/>
        <v>0</v>
      </c>
      <c r="P102" s="47">
        <f t="shared" ca="1" si="63"/>
        <v>0</v>
      </c>
      <c r="Q102" s="47">
        <v>0</v>
      </c>
      <c r="R102" s="47">
        <v>0</v>
      </c>
      <c r="S102" s="47">
        <v>0</v>
      </c>
      <c r="T102" s="47">
        <f t="shared" si="65"/>
        <v>0</v>
      </c>
      <c r="U102" s="47">
        <f t="shared" si="66"/>
        <v>0</v>
      </c>
    </row>
    <row r="103" spans="1:21" ht="19.5" x14ac:dyDescent="0.3">
      <c r="A103" s="139"/>
      <c r="B103" s="140"/>
      <c r="C103" s="409" t="s">
        <v>18</v>
      </c>
      <c r="D103" s="618" t="s">
        <v>38</v>
      </c>
      <c r="E103" s="142"/>
      <c r="F103" s="142"/>
      <c r="G103" s="143"/>
      <c r="H103" s="144"/>
      <c r="I103" s="136"/>
      <c r="J103" s="45"/>
      <c r="K103" s="46"/>
      <c r="L103" s="591"/>
      <c r="M103" s="46"/>
      <c r="N103" s="46"/>
      <c r="O103" s="137"/>
      <c r="P103" s="137"/>
      <c r="Q103" s="46"/>
      <c r="R103" s="46"/>
      <c r="S103" s="46"/>
      <c r="T103" s="137"/>
      <c r="U103" s="137"/>
    </row>
    <row r="104" spans="1:21" ht="12.75" hidden="1" x14ac:dyDescent="0.2">
      <c r="A104" s="164"/>
      <c r="B104" s="165"/>
      <c r="C104" s="165"/>
      <c r="D104" s="19"/>
      <c r="E104" s="19"/>
      <c r="F104" s="19"/>
      <c r="G104" s="20"/>
      <c r="H104" s="20"/>
      <c r="I104" s="21"/>
      <c r="J104" s="21"/>
      <c r="K104" s="22"/>
      <c r="L104" s="58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4"/>
      <c r="B105" s="165"/>
      <c r="C105" s="165"/>
      <c r="D105" s="19"/>
      <c r="E105" s="19"/>
      <c r="F105" s="19"/>
      <c r="G105" s="20"/>
      <c r="H105" s="20"/>
      <c r="I105" s="21"/>
      <c r="J105" s="21"/>
      <c r="K105" s="22"/>
      <c r="L105" s="58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4"/>
      <c r="B106" s="165"/>
      <c r="C106" s="165"/>
      <c r="D106" s="165"/>
      <c r="E106" s="19"/>
      <c r="F106" s="19"/>
      <c r="G106" s="20"/>
      <c r="H106" s="20"/>
      <c r="I106" s="21"/>
      <c r="J106" s="21"/>
      <c r="K106" s="22"/>
      <c r="L106" s="58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9"/>
      <c r="B107" s="140"/>
      <c r="C107" s="140"/>
      <c r="D107" s="302" t="s">
        <v>47</v>
      </c>
      <c r="E107" s="167"/>
      <c r="F107" s="170"/>
      <c r="G107" s="144"/>
      <c r="H107" s="43"/>
      <c r="I107" s="45"/>
      <c r="J107" s="45"/>
      <c r="K107" s="46"/>
      <c r="L107" s="591"/>
      <c r="M107" s="46"/>
      <c r="N107" s="46"/>
      <c r="O107" s="137"/>
      <c r="P107" s="137"/>
      <c r="Q107" s="46"/>
      <c r="R107" s="46"/>
      <c r="S107" s="46"/>
      <c r="T107" s="137"/>
      <c r="U107" s="137"/>
    </row>
    <row r="108" spans="1:21" ht="18.75" x14ac:dyDescent="0.25">
      <c r="A108" s="139"/>
      <c r="B108" s="140"/>
      <c r="C108" s="140"/>
      <c r="D108" s="303" t="s">
        <v>48</v>
      </c>
      <c r="E108" s="170"/>
      <c r="F108" s="170"/>
      <c r="G108" s="144"/>
      <c r="H108" s="44" t="s">
        <v>46</v>
      </c>
      <c r="I108" s="372">
        <f ca="1">IFERROR(__xludf.DUMMYFUNCTION("IMPORTRANGE(""https://docs.google.com/spreadsheets/d/1eHaY18a8A9IcSdp1K8H6x8fbOy06t2VsZHhMHf-1x7Y/edit?usp=sharing"",""แผน!N82"")"),30)</f>
        <v>30</v>
      </c>
      <c r="J108" s="169">
        <v>30</v>
      </c>
      <c r="K108" s="47">
        <f t="shared" ref="K108:K109" ca="1" si="73">IF(I108&gt;0,J108*100/I108,0)</f>
        <v>100</v>
      </c>
      <c r="L108" s="591"/>
      <c r="M108" s="46"/>
      <c r="N108" s="46"/>
      <c r="O108" s="137"/>
      <c r="P108" s="137"/>
      <c r="Q108" s="46"/>
      <c r="R108" s="46"/>
      <c r="S108" s="46"/>
      <c r="T108" s="137"/>
      <c r="U108" s="137"/>
    </row>
    <row r="109" spans="1:21" ht="18.75" x14ac:dyDescent="0.25">
      <c r="A109" s="139"/>
      <c r="B109" s="140"/>
      <c r="C109" s="140"/>
      <c r="D109" s="303" t="s">
        <v>49</v>
      </c>
      <c r="E109" s="170"/>
      <c r="F109" s="170"/>
      <c r="G109" s="144"/>
      <c r="H109" s="44" t="s">
        <v>35</v>
      </c>
      <c r="I109" s="372">
        <f ca="1">IFERROR(__xludf.DUMMYFUNCTION("IMPORTRANGE(""https://docs.google.com/spreadsheets/d/1eHaY18a8A9IcSdp1K8H6x8fbOy06t2VsZHhMHf-1x7Y/edit?usp=sharing"",""แผน!O82"")"),10)</f>
        <v>10</v>
      </c>
      <c r="J109" s="169">
        <v>10</v>
      </c>
      <c r="K109" s="47">
        <f t="shared" ca="1" si="73"/>
        <v>100</v>
      </c>
      <c r="L109" s="591"/>
      <c r="M109" s="46"/>
      <c r="N109" s="46"/>
      <c r="O109" s="137"/>
      <c r="P109" s="137"/>
      <c r="Q109" s="46"/>
      <c r="R109" s="46"/>
      <c r="S109" s="46"/>
      <c r="T109" s="137"/>
      <c r="U109" s="137"/>
    </row>
    <row r="110" spans="1:21" ht="12.75" hidden="1" x14ac:dyDescent="0.2">
      <c r="A110" s="164"/>
      <c r="B110" s="165"/>
      <c r="C110" s="165"/>
      <c r="D110" s="19"/>
      <c r="E110" s="19"/>
      <c r="F110" s="19"/>
      <c r="G110" s="20"/>
      <c r="H110" s="20"/>
      <c r="I110" s="21"/>
      <c r="J110" s="21"/>
      <c r="K110" s="22"/>
      <c r="L110" s="58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4"/>
      <c r="B111" s="165"/>
      <c r="C111" s="165"/>
      <c r="D111" s="19"/>
      <c r="E111" s="19"/>
      <c r="F111" s="19"/>
      <c r="G111" s="20"/>
      <c r="H111" s="20"/>
      <c r="I111" s="21"/>
      <c r="J111" s="21"/>
      <c r="K111" s="22"/>
      <c r="L111" s="58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4"/>
      <c r="B112" s="165"/>
      <c r="C112" s="165"/>
      <c r="D112" s="19"/>
      <c r="E112" s="19"/>
      <c r="F112" s="19"/>
      <c r="G112" s="20"/>
      <c r="H112" s="20"/>
      <c r="I112" s="21"/>
      <c r="J112" s="21"/>
      <c r="K112" s="22"/>
      <c r="L112" s="58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71"/>
      <c r="B113" s="172"/>
      <c r="C113" s="172"/>
      <c r="D113" s="410" t="s">
        <v>50</v>
      </c>
      <c r="E113" s="174"/>
      <c r="F113" s="174"/>
      <c r="G113" s="175"/>
      <c r="H113" s="176" t="s">
        <v>46</v>
      </c>
      <c r="I113" s="177">
        <f ca="1">IFERROR(__xludf.DUMMYFUNCTION("IMPORTRANGE(""https://docs.google.com/spreadsheets/d/1eHaY18a8A9IcSdp1K8H6x8fbOy06t2VsZHhMHf-1x7Y/edit?usp=sharing"",""แผน!N82"")"),30)</f>
        <v>30</v>
      </c>
      <c r="J113" s="178">
        <v>30</v>
      </c>
      <c r="K113" s="179">
        <f t="shared" ref="K113:K114" ca="1" si="74">IF(I113&gt;0,J113*100/I113,0)</f>
        <v>100</v>
      </c>
      <c r="L113" s="180"/>
      <c r="M113" s="180"/>
      <c r="N113" s="180"/>
      <c r="O113" s="181"/>
      <c r="P113" s="181"/>
      <c r="Q113" s="180"/>
      <c r="R113" s="180"/>
      <c r="S113" s="180"/>
      <c r="T113" s="181"/>
      <c r="U113" s="181"/>
    </row>
    <row r="114" spans="1:21" ht="18.75" x14ac:dyDescent="0.25">
      <c r="A114" s="139"/>
      <c r="B114" s="140"/>
      <c r="C114" s="140"/>
      <c r="D114" s="170"/>
      <c r="E114" s="170"/>
      <c r="F114" s="170"/>
      <c r="G114" s="144"/>
      <c r="H114" s="248" t="s">
        <v>35</v>
      </c>
      <c r="I114" s="152">
        <f ca="1">IFERROR(__xludf.DUMMYFUNCTION("IMPORTRANGE(""https://docs.google.com/spreadsheets/d/1eHaY18a8A9IcSdp1K8H6x8fbOy06t2VsZHhMHf-1x7Y/edit?usp=sharing"",""แผน!O82"")"),10)</f>
        <v>10</v>
      </c>
      <c r="J114" s="169">
        <v>10</v>
      </c>
      <c r="K114" s="47">
        <f t="shared" ca="1" si="74"/>
        <v>100</v>
      </c>
      <c r="L114" s="46"/>
      <c r="M114" s="46"/>
      <c r="N114" s="46"/>
      <c r="O114" s="137"/>
      <c r="P114" s="137"/>
      <c r="Q114" s="46"/>
      <c r="R114" s="46"/>
      <c r="S114" s="46"/>
      <c r="T114" s="137"/>
      <c r="U114" s="137"/>
    </row>
    <row r="115" spans="1:21" ht="19.5" x14ac:dyDescent="0.3">
      <c r="A115" s="620" t="s">
        <v>51</v>
      </c>
      <c r="B115" s="621"/>
      <c r="C115" s="622"/>
      <c r="D115" s="623"/>
      <c r="E115" s="623"/>
      <c r="F115" s="623"/>
      <c r="G115" s="623"/>
      <c r="H115" s="621"/>
      <c r="I115" s="624"/>
      <c r="J115" s="624"/>
      <c r="K115" s="62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5" t="s">
        <v>52</v>
      </c>
      <c r="C116" s="186"/>
      <c r="D116" s="126"/>
      <c r="E116" s="28"/>
      <c r="F116" s="28"/>
      <c r="G116" s="31"/>
      <c r="H116" s="187" t="s">
        <v>35</v>
      </c>
      <c r="I116" s="128">
        <f t="shared" ref="I116:J116" ca="1" si="75">I127</f>
        <v>15</v>
      </c>
      <c r="J116" s="128">
        <f t="shared" si="75"/>
        <v>15</v>
      </c>
      <c r="K116" s="35">
        <f ca="1">IF(I116&gt;0,J116*100/I116,0)</f>
        <v>100</v>
      </c>
      <c r="L116" s="615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9"/>
      <c r="B117" s="160"/>
      <c r="C117" s="409" t="s">
        <v>18</v>
      </c>
      <c r="D117" s="616" t="s">
        <v>19</v>
      </c>
      <c r="E117" s="200"/>
      <c r="F117" s="200"/>
      <c r="G117" s="43"/>
      <c r="H117" s="132" t="s">
        <v>14</v>
      </c>
      <c r="I117" s="45"/>
      <c r="J117" s="45"/>
      <c r="K117" s="46"/>
      <c r="L117" s="617">
        <f t="shared" ref="L117:N117" ca="1" si="76">L118+L119</f>
        <v>0</v>
      </c>
      <c r="M117" s="133">
        <f t="shared" ca="1" si="76"/>
        <v>0</v>
      </c>
      <c r="N117" s="133">
        <f t="shared" ca="1" si="76"/>
        <v>0</v>
      </c>
      <c r="O117" s="133">
        <f t="shared" ref="O117:O125" ca="1" si="77">IF(L117&gt;0,N117*100/L117,0)</f>
        <v>0</v>
      </c>
      <c r="P117" s="133">
        <f t="shared" ref="P117:P125" ca="1" si="78">IF(M117&gt;0,N117*100/M117,0)</f>
        <v>0</v>
      </c>
      <c r="Q117" s="133">
        <f t="shared" ref="Q117:S117" ca="1" si="79">Q118+Q119</f>
        <v>3541460</v>
      </c>
      <c r="R117" s="133">
        <f t="shared" ca="1" si="79"/>
        <v>3539307.08</v>
      </c>
      <c r="S117" s="133">
        <f t="shared" ca="1" si="79"/>
        <v>173127.08</v>
      </c>
      <c r="T117" s="133">
        <f t="shared" ref="T117:T125" ca="1" si="80">IF(Q117&gt;0,S117*100/Q117,0)</f>
        <v>4.8885792865089543</v>
      </c>
      <c r="U117" s="133">
        <f t="shared" ref="U117:U125" ca="1" si="81">IF(R117&gt;0,S117*100/R117,0)</f>
        <v>4.8915529533537958</v>
      </c>
    </row>
    <row r="118" spans="1:21" ht="18.75" hidden="1" x14ac:dyDescent="0.25">
      <c r="A118" s="129"/>
      <c r="B118" s="160"/>
      <c r="C118" s="160"/>
      <c r="D118" s="160"/>
      <c r="E118" s="158" t="s">
        <v>20</v>
      </c>
      <c r="F118" s="200"/>
      <c r="G118" s="43"/>
      <c r="H118" s="159" t="s">
        <v>14</v>
      </c>
      <c r="I118" s="45"/>
      <c r="J118" s="45"/>
      <c r="K118" s="46"/>
      <c r="L118" s="590">
        <f t="shared" ref="L118:N119" si="82">L121+L124</f>
        <v>0</v>
      </c>
      <c r="M118" s="49">
        <f t="shared" si="82"/>
        <v>0</v>
      </c>
      <c r="N118" s="49">
        <f t="shared" si="82"/>
        <v>0</v>
      </c>
      <c r="O118" s="49">
        <f t="shared" si="77"/>
        <v>0</v>
      </c>
      <c r="P118" s="49">
        <f t="shared" si="78"/>
        <v>0</v>
      </c>
      <c r="Q118" s="49">
        <f t="shared" ref="Q118:S119" si="83">Q121+Q124</f>
        <v>0</v>
      </c>
      <c r="R118" s="49">
        <f t="shared" si="83"/>
        <v>0</v>
      </c>
      <c r="S118" s="49">
        <f t="shared" si="83"/>
        <v>0</v>
      </c>
      <c r="T118" s="49">
        <f t="shared" si="80"/>
        <v>0</v>
      </c>
      <c r="U118" s="49">
        <f t="shared" si="81"/>
        <v>0</v>
      </c>
    </row>
    <row r="119" spans="1:21" ht="18.75" hidden="1" x14ac:dyDescent="0.25">
      <c r="A119" s="129"/>
      <c r="B119" s="160"/>
      <c r="C119" s="160"/>
      <c r="D119" s="160"/>
      <c r="E119" s="271" t="s">
        <v>21</v>
      </c>
      <c r="F119" s="200"/>
      <c r="G119" s="43"/>
      <c r="H119" s="134" t="s">
        <v>14</v>
      </c>
      <c r="I119" s="45"/>
      <c r="J119" s="45"/>
      <c r="K119" s="46"/>
      <c r="L119" s="588">
        <f t="shared" ca="1" si="82"/>
        <v>0</v>
      </c>
      <c r="M119" s="47">
        <f t="shared" ca="1" si="82"/>
        <v>0</v>
      </c>
      <c r="N119" s="47">
        <f t="shared" ca="1" si="82"/>
        <v>0</v>
      </c>
      <c r="O119" s="47">
        <f t="shared" ca="1" si="77"/>
        <v>0</v>
      </c>
      <c r="P119" s="47">
        <f t="shared" ca="1" si="78"/>
        <v>0</v>
      </c>
      <c r="Q119" s="47">
        <f t="shared" ca="1" si="83"/>
        <v>3541460</v>
      </c>
      <c r="R119" s="47">
        <f t="shared" ca="1" si="83"/>
        <v>3539307.08</v>
      </c>
      <c r="S119" s="47">
        <f t="shared" ca="1" si="83"/>
        <v>173127.08</v>
      </c>
      <c r="T119" s="47">
        <f t="shared" ca="1" si="80"/>
        <v>4.8885792865089543</v>
      </c>
      <c r="U119" s="47">
        <f t="shared" ca="1" si="81"/>
        <v>4.8915529533537958</v>
      </c>
    </row>
    <row r="120" spans="1:21" ht="18.75" x14ac:dyDescent="0.25">
      <c r="A120" s="129"/>
      <c r="B120" s="160"/>
      <c r="C120" s="188"/>
      <c r="D120" s="626" t="s">
        <v>22</v>
      </c>
      <c r="E120" s="200"/>
      <c r="F120" s="200"/>
      <c r="G120" s="43"/>
      <c r="H120" s="189" t="s">
        <v>14</v>
      </c>
      <c r="I120" s="45"/>
      <c r="J120" s="45"/>
      <c r="K120" s="46"/>
      <c r="L120" s="588">
        <f t="shared" ref="L120:N120" ca="1" si="84">L121+L122</f>
        <v>0</v>
      </c>
      <c r="M120" s="47">
        <f t="shared" ca="1" si="84"/>
        <v>0</v>
      </c>
      <c r="N120" s="47">
        <f t="shared" ca="1" si="84"/>
        <v>0</v>
      </c>
      <c r="O120" s="47">
        <f t="shared" ca="1" si="77"/>
        <v>0</v>
      </c>
      <c r="P120" s="47">
        <f t="shared" ca="1" si="78"/>
        <v>0</v>
      </c>
      <c r="Q120" s="47">
        <f t="shared" ref="Q120:S120" ca="1" si="85">Q121+Q122</f>
        <v>191460</v>
      </c>
      <c r="R120" s="47">
        <f t="shared" ca="1" si="85"/>
        <v>189307.08</v>
      </c>
      <c r="S120" s="47">
        <f t="shared" ca="1" si="85"/>
        <v>173127.08</v>
      </c>
      <c r="T120" s="47">
        <f t="shared" ca="1" si="80"/>
        <v>90.424673561057133</v>
      </c>
      <c r="U120" s="47">
        <f t="shared" ca="1" si="81"/>
        <v>91.453040213815569</v>
      </c>
    </row>
    <row r="121" spans="1:21" ht="18.75" hidden="1" x14ac:dyDescent="0.25">
      <c r="A121" s="129"/>
      <c r="B121" s="160"/>
      <c r="C121" s="188"/>
      <c r="D121" s="160"/>
      <c r="E121" s="158" t="s">
        <v>36</v>
      </c>
      <c r="F121" s="200"/>
      <c r="G121" s="43"/>
      <c r="H121" s="190" t="s">
        <v>14</v>
      </c>
      <c r="I121" s="45"/>
      <c r="J121" s="45"/>
      <c r="K121" s="46"/>
      <c r="L121" s="590">
        <v>0</v>
      </c>
      <c r="M121" s="49">
        <v>0</v>
      </c>
      <c r="N121" s="49">
        <v>0</v>
      </c>
      <c r="O121" s="49">
        <f t="shared" si="77"/>
        <v>0</v>
      </c>
      <c r="P121" s="49">
        <f t="shared" si="78"/>
        <v>0</v>
      </c>
      <c r="Q121" s="49">
        <v>0</v>
      </c>
      <c r="R121" s="49">
        <v>0</v>
      </c>
      <c r="S121" s="49">
        <v>0</v>
      </c>
      <c r="T121" s="49">
        <f t="shared" si="80"/>
        <v>0</v>
      </c>
      <c r="U121" s="49">
        <f t="shared" si="81"/>
        <v>0</v>
      </c>
    </row>
    <row r="122" spans="1:21" ht="18.75" hidden="1" x14ac:dyDescent="0.25">
      <c r="A122" s="129"/>
      <c r="B122" s="160"/>
      <c r="C122" s="188"/>
      <c r="D122" s="160"/>
      <c r="E122" s="271" t="s">
        <v>37</v>
      </c>
      <c r="F122" s="200"/>
      <c r="G122" s="43"/>
      <c r="H122" s="189" t="s">
        <v>14</v>
      </c>
      <c r="I122" s="45"/>
      <c r="J122" s="45"/>
      <c r="K122" s="46"/>
      <c r="L122" s="588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t="shared" ca="1" si="77"/>
        <v>0</v>
      </c>
      <c r="P122" s="47">
        <f t="shared" ca="1" si="78"/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IFERROR(__xludf.DUMMYFUNCTION("IMPORTRANGE(""https://docs.google.com/spreadsheets/d/1ItG2mGa2ceCfYo0BwxsXqNm01IGEUdYcSSLTEv9YCik/edit?usp=sharing"",""เบิกจ่ายกองทุน!V82"")"),189307.08)</f>
        <v>189307.08</v>
      </c>
      <c r="S122" s="47">
        <f ca="1">IFERROR(__xludf.DUMMYFUNCTION("IMPORTRANGE(""https://docs.google.com/spreadsheets/d/1ItG2mGa2ceCfYo0BwxsXqNm01IGEUdYcSSLTEv9YCik/edit?usp=sharing"",""เบิกจ่ายกองทุน!W82"")"),173127.08)</f>
        <v>173127.08</v>
      </c>
      <c r="T122" s="47">
        <f t="shared" ca="1" si="80"/>
        <v>90.424673561057133</v>
      </c>
      <c r="U122" s="47">
        <f t="shared" ca="1" si="81"/>
        <v>91.453040213815569</v>
      </c>
    </row>
    <row r="123" spans="1:21" ht="18.75" x14ac:dyDescent="0.25">
      <c r="A123" s="129"/>
      <c r="B123" s="200"/>
      <c r="C123" s="188"/>
      <c r="D123" s="626" t="s">
        <v>23</v>
      </c>
      <c r="E123" s="200"/>
      <c r="F123" s="200"/>
      <c r="G123" s="43"/>
      <c r="H123" s="134" t="s">
        <v>14</v>
      </c>
      <c r="I123" s="45"/>
      <c r="J123" s="45"/>
      <c r="K123" s="46"/>
      <c r="L123" s="588">
        <f t="shared" ref="L123:N123" ca="1" si="86">L124+L125</f>
        <v>0</v>
      </c>
      <c r="M123" s="47">
        <f t="shared" ca="1" si="86"/>
        <v>0</v>
      </c>
      <c r="N123" s="47">
        <f t="shared" ca="1" si="86"/>
        <v>0</v>
      </c>
      <c r="O123" s="47">
        <f t="shared" ca="1" si="77"/>
        <v>0</v>
      </c>
      <c r="P123" s="47">
        <f t="shared" ca="1" si="78"/>
        <v>0</v>
      </c>
      <c r="Q123" s="47">
        <f t="shared" ref="Q123:S123" ca="1" si="87">Q124+Q125</f>
        <v>3350000</v>
      </c>
      <c r="R123" s="47">
        <f t="shared" ca="1" si="87"/>
        <v>3350000</v>
      </c>
      <c r="S123" s="47">
        <f t="shared" ca="1" si="87"/>
        <v>0</v>
      </c>
      <c r="T123" s="47">
        <f t="shared" ca="1" si="80"/>
        <v>0</v>
      </c>
      <c r="U123" s="47">
        <f t="shared" ca="1" si="81"/>
        <v>0</v>
      </c>
    </row>
    <row r="124" spans="1:21" ht="18.75" hidden="1" x14ac:dyDescent="0.25">
      <c r="A124" s="129"/>
      <c r="B124" s="200"/>
      <c r="C124" s="188"/>
      <c r="D124" s="160"/>
      <c r="E124" s="158" t="s">
        <v>20</v>
      </c>
      <c r="F124" s="200"/>
      <c r="G124" s="43"/>
      <c r="H124" s="190" t="s">
        <v>14</v>
      </c>
      <c r="I124" s="45"/>
      <c r="J124" s="45"/>
      <c r="K124" s="46"/>
      <c r="L124" s="590">
        <v>0</v>
      </c>
      <c r="M124" s="49">
        <v>0</v>
      </c>
      <c r="N124" s="49">
        <v>0</v>
      </c>
      <c r="O124" s="49">
        <f t="shared" si="77"/>
        <v>0</v>
      </c>
      <c r="P124" s="49">
        <f t="shared" si="78"/>
        <v>0</v>
      </c>
      <c r="Q124" s="49">
        <v>0</v>
      </c>
      <c r="R124" s="49">
        <v>0</v>
      </c>
      <c r="S124" s="49">
        <v>0</v>
      </c>
      <c r="T124" s="49">
        <f t="shared" si="80"/>
        <v>0</v>
      </c>
      <c r="U124" s="49">
        <f t="shared" si="81"/>
        <v>0</v>
      </c>
    </row>
    <row r="125" spans="1:21" ht="18.75" hidden="1" x14ac:dyDescent="0.25">
      <c r="A125" s="129"/>
      <c r="B125" s="200"/>
      <c r="C125" s="200"/>
      <c r="D125" s="200"/>
      <c r="E125" s="271" t="s">
        <v>21</v>
      </c>
      <c r="F125" s="200"/>
      <c r="G125" s="43"/>
      <c r="H125" s="134" t="s">
        <v>14</v>
      </c>
      <c r="I125" s="45"/>
      <c r="J125" s="45"/>
      <c r="K125" s="46"/>
      <c r="L125" s="588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t="shared" ca="1" si="77"/>
        <v>0</v>
      </c>
      <c r="P125" s="47">
        <f t="shared" ca="1" si="78"/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t="shared" ca="1" si="80"/>
        <v>0</v>
      </c>
      <c r="U125" s="47">
        <f t="shared" ca="1" si="81"/>
        <v>0</v>
      </c>
    </row>
    <row r="126" spans="1:21" ht="19.5" x14ac:dyDescent="0.3">
      <c r="A126" s="139"/>
      <c r="B126" s="140"/>
      <c r="C126" s="409" t="s">
        <v>18</v>
      </c>
      <c r="D126" s="618" t="s">
        <v>38</v>
      </c>
      <c r="E126" s="142"/>
      <c r="F126" s="142"/>
      <c r="G126" s="143"/>
      <c r="H126" s="192"/>
      <c r="I126" s="45"/>
      <c r="J126" s="45"/>
      <c r="K126" s="46"/>
      <c r="L126" s="591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9"/>
      <c r="B127" s="140"/>
      <c r="C127" s="140"/>
      <c r="D127" s="303" t="s">
        <v>53</v>
      </c>
      <c r="E127" s="170"/>
      <c r="F127" s="170"/>
      <c r="G127" s="144"/>
      <c r="H127" s="134" t="s">
        <v>35</v>
      </c>
      <c r="I127" s="372">
        <f ca="1">IFERROR(__xludf.DUMMYFUNCTION("IMPORTRANGE(""https://docs.google.com/spreadsheets/d/1eHaY18a8A9IcSdp1K8H6x8fbOy06t2VsZHhMHf-1x7Y/edit?usp=sharing"",""แผน!FF82"")"),15)</f>
        <v>15</v>
      </c>
      <c r="J127" s="169">
        <v>15</v>
      </c>
      <c r="K127" s="47">
        <f t="shared" ref="K127:K130" ca="1" si="88">IF(I127&gt;0,J127*100/I127,0)</f>
        <v>100</v>
      </c>
      <c r="L127" s="591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9"/>
      <c r="B128" s="140"/>
      <c r="C128" s="140"/>
      <c r="D128" s="170"/>
      <c r="E128" s="170"/>
      <c r="F128" s="170"/>
      <c r="G128" s="144"/>
      <c r="H128" s="134" t="s">
        <v>54</v>
      </c>
      <c r="I128" s="372">
        <f ca="1">IFERROR(__xludf.DUMMYFUNCTION("IMPORTRANGE(""https://docs.google.com/spreadsheets/d/1eHaY18a8A9IcSdp1K8H6x8fbOy06t2VsZHhMHf-1x7Y/edit?usp=sharing"",""แผน!FG82"")"),1)</f>
        <v>1</v>
      </c>
      <c r="J128" s="169">
        <v>1</v>
      </c>
      <c r="K128" s="47">
        <f t="shared" ca="1" si="88"/>
        <v>100</v>
      </c>
      <c r="L128" s="591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9"/>
      <c r="B129" s="140"/>
      <c r="C129" s="140"/>
      <c r="D129" s="303" t="s">
        <v>55</v>
      </c>
      <c r="E129" s="170"/>
      <c r="F129" s="170"/>
      <c r="G129" s="144"/>
      <c r="H129" s="134" t="s">
        <v>35</v>
      </c>
      <c r="I129" s="372">
        <f ca="1">IFERROR(__xludf.DUMMYFUNCTION("IMPORTRANGE(""https://docs.google.com/spreadsheets/d/1eHaY18a8A9IcSdp1K8H6x8fbOy06t2VsZHhMHf-1x7Y/edit?usp=sharing"",""แผน!FH82"")"),15)</f>
        <v>15</v>
      </c>
      <c r="J129" s="169">
        <v>15</v>
      </c>
      <c r="K129" s="47">
        <f t="shared" ca="1" si="88"/>
        <v>100</v>
      </c>
      <c r="L129" s="591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9"/>
      <c r="B130" s="140"/>
      <c r="C130" s="140"/>
      <c r="D130" s="170"/>
      <c r="E130" s="170"/>
      <c r="F130" s="170"/>
      <c r="G130" s="144"/>
      <c r="H130" s="134" t="s">
        <v>54</v>
      </c>
      <c r="I130" s="372">
        <f ca="1">IFERROR(__xludf.DUMMYFUNCTION("IMPORTRANGE(""https://docs.google.com/spreadsheets/d/1eHaY18a8A9IcSdp1K8H6x8fbOy06t2VsZHhMHf-1x7Y/edit?usp=sharing"",""แผน!FI82"")"),1)</f>
        <v>1</v>
      </c>
      <c r="J130" s="169">
        <v>1</v>
      </c>
      <c r="K130" s="47">
        <f t="shared" ca="1" si="88"/>
        <v>100</v>
      </c>
      <c r="L130" s="591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9"/>
      <c r="B131" s="140"/>
      <c r="C131" s="140"/>
      <c r="D131" s="193" t="s">
        <v>56</v>
      </c>
      <c r="E131" s="170"/>
      <c r="F131" s="170"/>
      <c r="G131" s="144"/>
      <c r="H131" s="159" t="s">
        <v>35</v>
      </c>
      <c r="I131" s="45"/>
      <c r="J131" s="45"/>
      <c r="K131" s="46"/>
      <c r="L131" s="591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9"/>
      <c r="B132" s="140"/>
      <c r="C132" s="140"/>
      <c r="D132" s="193" t="s">
        <v>57</v>
      </c>
      <c r="E132" s="170"/>
      <c r="F132" s="170"/>
      <c r="G132" s="144"/>
      <c r="H132" s="194"/>
      <c r="I132" s="45"/>
      <c r="J132" s="45"/>
      <c r="K132" s="46"/>
      <c r="L132" s="591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4"/>
      <c r="B133" s="165"/>
      <c r="C133" s="165"/>
      <c r="D133" s="19"/>
      <c r="E133" s="19"/>
      <c r="F133" s="19"/>
      <c r="G133" s="20"/>
      <c r="H133" s="195"/>
      <c r="I133" s="21"/>
      <c r="J133" s="21"/>
      <c r="K133" s="22"/>
      <c r="L133" s="58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82"/>
      <c r="D134" s="119"/>
      <c r="E134" s="119"/>
      <c r="F134" s="119"/>
      <c r="G134" s="119"/>
      <c r="H134" s="119"/>
      <c r="I134" s="183"/>
      <c r="J134" s="183"/>
      <c r="K134" s="184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125" t="s">
        <v>59</v>
      </c>
      <c r="C135" s="186"/>
      <c r="D135" s="126"/>
      <c r="E135" s="28"/>
      <c r="F135" s="28"/>
      <c r="G135" s="28"/>
      <c r="H135" s="28"/>
      <c r="I135" s="196"/>
      <c r="J135" s="33"/>
      <c r="K135" s="34"/>
      <c r="L135" s="615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7" t="s">
        <v>60</v>
      </c>
      <c r="D136" s="126"/>
      <c r="E136" s="28"/>
      <c r="F136" s="28"/>
      <c r="G136" s="31"/>
      <c r="H136" s="198" t="s">
        <v>61</v>
      </c>
      <c r="I136" s="128">
        <f t="shared" ref="I136:J136" ca="1" si="89">I154</f>
        <v>2</v>
      </c>
      <c r="J136" s="128">
        <f t="shared" si="89"/>
        <v>0</v>
      </c>
      <c r="K136" s="35">
        <f t="shared" ref="K136:K138" ca="1" si="90">IF(I136&gt;0,J136*100/I136,0)</f>
        <v>0</v>
      </c>
      <c r="L136" s="615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7" t="s">
        <v>62</v>
      </c>
      <c r="D137" s="126"/>
      <c r="E137" s="28"/>
      <c r="F137" s="28"/>
      <c r="G137" s="31"/>
      <c r="H137" s="198" t="s">
        <v>35</v>
      </c>
      <c r="I137" s="128">
        <f t="shared" ref="I137:J138" ca="1" si="91">I152</f>
        <v>60</v>
      </c>
      <c r="J137" s="128">
        <f t="shared" si="91"/>
        <v>60</v>
      </c>
      <c r="K137" s="35">
        <f t="shared" ca="1" si="90"/>
        <v>100</v>
      </c>
      <c r="L137" s="615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6"/>
      <c r="D138" s="126"/>
      <c r="E138" s="28"/>
      <c r="F138" s="28"/>
      <c r="G138" s="31"/>
      <c r="H138" s="198" t="s">
        <v>54</v>
      </c>
      <c r="I138" s="128">
        <f t="shared" ca="1" si="91"/>
        <v>6</v>
      </c>
      <c r="J138" s="128">
        <f t="shared" si="91"/>
        <v>6</v>
      </c>
      <c r="K138" s="35">
        <f t="shared" ca="1" si="90"/>
        <v>100</v>
      </c>
      <c r="L138" s="615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9"/>
      <c r="B139" s="200"/>
      <c r="C139" s="409" t="s">
        <v>18</v>
      </c>
      <c r="D139" s="616" t="s">
        <v>19</v>
      </c>
      <c r="E139" s="200"/>
      <c r="F139" s="200"/>
      <c r="G139" s="43"/>
      <c r="H139" s="132" t="s">
        <v>14</v>
      </c>
      <c r="I139" s="45"/>
      <c r="J139" s="45"/>
      <c r="K139" s="46"/>
      <c r="L139" s="617">
        <f t="shared" ref="L139:N139" ca="1" si="92">L140+L141</f>
        <v>91400</v>
      </c>
      <c r="M139" s="133">
        <f t="shared" ca="1" si="92"/>
        <v>86400</v>
      </c>
      <c r="N139" s="133">
        <f t="shared" ca="1" si="92"/>
        <v>86400</v>
      </c>
      <c r="O139" s="133">
        <f t="shared" ref="O139:O147" ca="1" si="93">IF(L139&gt;0,N139*100/L139,0)</f>
        <v>94.529540481400431</v>
      </c>
      <c r="P139" s="133">
        <f t="shared" ref="P139:P147" ca="1" si="94">IF(M139&gt;0,N139*100/M139,0)</f>
        <v>100</v>
      </c>
      <c r="Q139" s="133">
        <f t="shared" ref="Q139:S139" ca="1" si="95">Q140+Q141</f>
        <v>309860</v>
      </c>
      <c r="R139" s="133">
        <f t="shared" ca="1" si="95"/>
        <v>309860</v>
      </c>
      <c r="S139" s="133">
        <f t="shared" ca="1" si="95"/>
        <v>24970</v>
      </c>
      <c r="T139" s="133">
        <f t="shared" ref="T139:T147" ca="1" si="96">IF(Q139&gt;0,S139*100/Q139,0)</f>
        <v>8.0584780223326664</v>
      </c>
      <c r="U139" s="133">
        <f t="shared" ref="U139:U147" ca="1" si="97">IF(R139&gt;0,S139*100/R139,0)</f>
        <v>8.0584780223326664</v>
      </c>
    </row>
    <row r="140" spans="1:21" ht="18.75" hidden="1" x14ac:dyDescent="0.25">
      <c r="A140" s="129"/>
      <c r="B140" s="200"/>
      <c r="C140" s="200"/>
      <c r="D140" s="200"/>
      <c r="E140" s="158" t="s">
        <v>20</v>
      </c>
      <c r="F140" s="200"/>
      <c r="G140" s="43"/>
      <c r="H140" s="159" t="s">
        <v>14</v>
      </c>
      <c r="I140" s="45"/>
      <c r="J140" s="45"/>
      <c r="K140" s="46"/>
      <c r="L140" s="590">
        <f t="shared" ref="L140:N141" si="98">L143+L146</f>
        <v>0</v>
      </c>
      <c r="M140" s="49">
        <f t="shared" si="98"/>
        <v>0</v>
      </c>
      <c r="N140" s="49">
        <f t="shared" si="98"/>
        <v>0</v>
      </c>
      <c r="O140" s="49">
        <f t="shared" si="93"/>
        <v>0</v>
      </c>
      <c r="P140" s="49">
        <f t="shared" si="94"/>
        <v>0</v>
      </c>
      <c r="Q140" s="49">
        <f t="shared" ref="Q140:S141" si="99">Q143+Q146</f>
        <v>0</v>
      </c>
      <c r="R140" s="49">
        <f t="shared" si="99"/>
        <v>0</v>
      </c>
      <c r="S140" s="49">
        <f t="shared" si="99"/>
        <v>0</v>
      </c>
      <c r="T140" s="49">
        <f t="shared" si="96"/>
        <v>0</v>
      </c>
      <c r="U140" s="49">
        <f t="shared" si="97"/>
        <v>0</v>
      </c>
    </row>
    <row r="141" spans="1:21" ht="18.75" hidden="1" x14ac:dyDescent="0.25">
      <c r="A141" s="129"/>
      <c r="B141" s="200"/>
      <c r="C141" s="200"/>
      <c r="D141" s="200"/>
      <c r="E141" s="271" t="s">
        <v>21</v>
      </c>
      <c r="F141" s="200"/>
      <c r="G141" s="43"/>
      <c r="H141" s="134" t="s">
        <v>14</v>
      </c>
      <c r="I141" s="45"/>
      <c r="J141" s="45"/>
      <c r="K141" s="46"/>
      <c r="L141" s="588">
        <f t="shared" ca="1" si="98"/>
        <v>91400</v>
      </c>
      <c r="M141" s="47">
        <f t="shared" ca="1" si="98"/>
        <v>86400</v>
      </c>
      <c r="N141" s="47">
        <f t="shared" ca="1" si="98"/>
        <v>86400</v>
      </c>
      <c r="O141" s="47">
        <f t="shared" ca="1" si="93"/>
        <v>94.529540481400431</v>
      </c>
      <c r="P141" s="47">
        <f t="shared" ca="1" si="94"/>
        <v>100</v>
      </c>
      <c r="Q141" s="47">
        <f t="shared" ca="1" si="99"/>
        <v>309860</v>
      </c>
      <c r="R141" s="47">
        <f t="shared" ca="1" si="99"/>
        <v>309860</v>
      </c>
      <c r="S141" s="47">
        <f t="shared" ca="1" si="99"/>
        <v>24970</v>
      </c>
      <c r="T141" s="47">
        <f t="shared" ca="1" si="96"/>
        <v>8.0584780223326664</v>
      </c>
      <c r="U141" s="47">
        <f t="shared" ca="1" si="97"/>
        <v>8.0584780223326664</v>
      </c>
    </row>
    <row r="142" spans="1:21" ht="18.75" x14ac:dyDescent="0.25">
      <c r="A142" s="129"/>
      <c r="B142" s="200"/>
      <c r="C142" s="200"/>
      <c r="D142" s="42" t="s">
        <v>22</v>
      </c>
      <c r="E142" s="200"/>
      <c r="F142" s="200"/>
      <c r="G142" s="43"/>
      <c r="H142" s="135" t="s">
        <v>14</v>
      </c>
      <c r="I142" s="136"/>
      <c r="J142" s="136"/>
      <c r="K142" s="137"/>
      <c r="L142" s="588">
        <f t="shared" ref="L142:N142" ca="1" si="100">L143+L144</f>
        <v>91400</v>
      </c>
      <c r="M142" s="47">
        <f t="shared" ca="1" si="100"/>
        <v>86400</v>
      </c>
      <c r="N142" s="47">
        <f t="shared" ca="1" si="100"/>
        <v>86400</v>
      </c>
      <c r="O142" s="47">
        <f t="shared" ca="1" si="93"/>
        <v>94.529540481400431</v>
      </c>
      <c r="P142" s="47">
        <f t="shared" ca="1" si="94"/>
        <v>100</v>
      </c>
      <c r="Q142" s="47">
        <f t="shared" ref="Q142:S142" ca="1" si="101">Q143+Q144</f>
        <v>49860</v>
      </c>
      <c r="R142" s="47">
        <f t="shared" ca="1" si="101"/>
        <v>49860</v>
      </c>
      <c r="S142" s="47">
        <f t="shared" ca="1" si="101"/>
        <v>24970</v>
      </c>
      <c r="T142" s="47">
        <f t="shared" ca="1" si="96"/>
        <v>50.080224628961091</v>
      </c>
      <c r="U142" s="47">
        <f t="shared" ca="1" si="97"/>
        <v>50.080224628961091</v>
      </c>
    </row>
    <row r="143" spans="1:21" ht="18.75" hidden="1" x14ac:dyDescent="0.25">
      <c r="A143" s="129"/>
      <c r="B143" s="200"/>
      <c r="C143" s="200"/>
      <c r="D143" s="200"/>
      <c r="E143" s="158" t="s">
        <v>36</v>
      </c>
      <c r="F143" s="200"/>
      <c r="G143" s="43"/>
      <c r="H143" s="161" t="s">
        <v>14</v>
      </c>
      <c r="I143" s="136"/>
      <c r="J143" s="136"/>
      <c r="K143" s="137"/>
      <c r="L143" s="590">
        <v>0</v>
      </c>
      <c r="M143" s="49">
        <v>0</v>
      </c>
      <c r="N143" s="49">
        <v>0</v>
      </c>
      <c r="O143" s="49">
        <f t="shared" si="93"/>
        <v>0</v>
      </c>
      <c r="P143" s="49">
        <f t="shared" si="94"/>
        <v>0</v>
      </c>
      <c r="Q143" s="49">
        <v>0</v>
      </c>
      <c r="R143" s="49">
        <v>0</v>
      </c>
      <c r="S143" s="49">
        <v>0</v>
      </c>
      <c r="T143" s="49">
        <f t="shared" si="96"/>
        <v>0</v>
      </c>
      <c r="U143" s="49">
        <f t="shared" si="97"/>
        <v>0</v>
      </c>
    </row>
    <row r="144" spans="1:21" ht="18.75" hidden="1" x14ac:dyDescent="0.25">
      <c r="A144" s="129"/>
      <c r="B144" s="200"/>
      <c r="C144" s="200"/>
      <c r="D144" s="200"/>
      <c r="E144" s="271" t="s">
        <v>37</v>
      </c>
      <c r="F144" s="200"/>
      <c r="G144" s="43"/>
      <c r="H144" s="135" t="s">
        <v>14</v>
      </c>
      <c r="I144" s="136"/>
      <c r="J144" s="136"/>
      <c r="K144" s="137"/>
      <c r="L144" s="588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IFERROR(__xludf.DUMMYFUNCTION("IMPORTRANGE(""https://docs.google.com/spreadsheets/d/1-uDff_7J0KD5mKrp0Vvzr7lt3OU09vwQwhkpOPPYv2Y/edit?usp=sharing"",""งบพรบ!BX82"")"),86400)</f>
        <v>86400</v>
      </c>
      <c r="O144" s="47">
        <f t="shared" ca="1" si="93"/>
        <v>94.529540481400431</v>
      </c>
      <c r="P144" s="47">
        <f t="shared" ca="1" si="94"/>
        <v>100</v>
      </c>
      <c r="Q144" s="47">
        <f ca="1">IFERROR(__xludf.DUMMYFUNCTION("IMPORTRANGE(""https://docs.google.com/spreadsheets/d/1ItG2mGa2ceCfYo0BwxsXqNm01IGEUdYcSSLTEv9YCik/edit?usp=sharing"",""เบิกจ่ายกองทุน!CF82"")"),49860)</f>
        <v>49860</v>
      </c>
      <c r="R144" s="47">
        <f ca="1">IFERROR(__xludf.DUMMYFUNCTION("IMPORTRANGE(""https://docs.google.com/spreadsheets/d/1ItG2mGa2ceCfYo0BwxsXqNm01IGEUdYcSSLTEv9YCik/edit?usp=sharing"",""เบิกจ่ายกองทุน!CG82"")"),49860)</f>
        <v>49860</v>
      </c>
      <c r="S144" s="47">
        <f ca="1">IFERROR(__xludf.DUMMYFUNCTION("IMPORTRANGE(""https://docs.google.com/spreadsheets/d/1ItG2mGa2ceCfYo0BwxsXqNm01IGEUdYcSSLTEv9YCik/edit?usp=sharing"",""เบิกจ่ายกองทุน!CH82"")"),24970)</f>
        <v>24970</v>
      </c>
      <c r="T144" s="47">
        <f t="shared" ca="1" si="96"/>
        <v>50.080224628961091</v>
      </c>
      <c r="U144" s="47">
        <f t="shared" ca="1" si="97"/>
        <v>50.080224628961091</v>
      </c>
    </row>
    <row r="145" spans="1:21" ht="18.75" x14ac:dyDescent="0.25">
      <c r="A145" s="129"/>
      <c r="B145" s="200"/>
      <c r="C145" s="200"/>
      <c r="D145" s="42" t="s">
        <v>23</v>
      </c>
      <c r="E145" s="200"/>
      <c r="F145" s="200"/>
      <c r="G145" s="43"/>
      <c r="H145" s="138" t="s">
        <v>14</v>
      </c>
      <c r="I145" s="136"/>
      <c r="J145" s="136"/>
      <c r="K145" s="137"/>
      <c r="L145" s="588">
        <f t="shared" ref="L145:N145" ca="1" si="102">L146+L147</f>
        <v>0</v>
      </c>
      <c r="M145" s="47">
        <f t="shared" ca="1" si="102"/>
        <v>0</v>
      </c>
      <c r="N145" s="47">
        <f t="shared" ca="1" si="102"/>
        <v>0</v>
      </c>
      <c r="O145" s="47">
        <f t="shared" ca="1" si="93"/>
        <v>0</v>
      </c>
      <c r="P145" s="47">
        <f t="shared" ca="1" si="94"/>
        <v>0</v>
      </c>
      <c r="Q145" s="47">
        <f t="shared" ref="Q145:S145" ca="1" si="103">Q146+Q147</f>
        <v>260000</v>
      </c>
      <c r="R145" s="47">
        <f t="shared" ca="1" si="103"/>
        <v>260000</v>
      </c>
      <c r="S145" s="47">
        <f t="shared" ca="1" si="103"/>
        <v>0</v>
      </c>
      <c r="T145" s="47">
        <f t="shared" ca="1" si="96"/>
        <v>0</v>
      </c>
      <c r="U145" s="47">
        <f t="shared" ca="1" si="97"/>
        <v>0</v>
      </c>
    </row>
    <row r="146" spans="1:21" ht="18.75" hidden="1" x14ac:dyDescent="0.25">
      <c r="A146" s="129"/>
      <c r="B146" s="200"/>
      <c r="C146" s="200"/>
      <c r="D146" s="200"/>
      <c r="E146" s="158" t="s">
        <v>20</v>
      </c>
      <c r="F146" s="200"/>
      <c r="G146" s="43"/>
      <c r="H146" s="161" t="s">
        <v>14</v>
      </c>
      <c r="I146" s="136"/>
      <c r="J146" s="136"/>
      <c r="K146" s="137"/>
      <c r="L146" s="590">
        <v>0</v>
      </c>
      <c r="M146" s="49">
        <v>0</v>
      </c>
      <c r="N146" s="49">
        <v>0</v>
      </c>
      <c r="O146" s="49">
        <f t="shared" si="93"/>
        <v>0</v>
      </c>
      <c r="P146" s="49">
        <f t="shared" si="94"/>
        <v>0</v>
      </c>
      <c r="Q146" s="49">
        <v>0</v>
      </c>
      <c r="R146" s="49">
        <v>0</v>
      </c>
      <c r="S146" s="49">
        <v>0</v>
      </c>
      <c r="T146" s="49">
        <f t="shared" si="96"/>
        <v>0</v>
      </c>
      <c r="U146" s="49">
        <f t="shared" si="97"/>
        <v>0</v>
      </c>
    </row>
    <row r="147" spans="1:21" ht="18.75" hidden="1" x14ac:dyDescent="0.25">
      <c r="A147" s="129"/>
      <c r="B147" s="200"/>
      <c r="C147" s="200"/>
      <c r="D147" s="200"/>
      <c r="E147" s="271" t="s">
        <v>21</v>
      </c>
      <c r="F147" s="200"/>
      <c r="G147" s="43"/>
      <c r="H147" s="138" t="s">
        <v>14</v>
      </c>
      <c r="I147" s="136"/>
      <c r="J147" s="136"/>
      <c r="K147" s="137"/>
      <c r="L147" s="588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t="shared" ca="1" si="93"/>
        <v>0</v>
      </c>
      <c r="P147" s="47">
        <f t="shared" ca="1" si="94"/>
        <v>0</v>
      </c>
      <c r="Q147" s="47">
        <f ca="1">IFERROR(__xludf.DUMMYFUNCTION("IMPORTRANGE(""https://docs.google.com/spreadsheets/d/1ItG2mGa2ceCfYo0BwxsXqNm01IGEUdYcSSLTEv9YCik/edit?usp=sharing"",""เบิกจ่ายกองทุน!CI82"")"),260000)</f>
        <v>260000</v>
      </c>
      <c r="R147" s="47">
        <f ca="1">IFERROR(__xludf.DUMMYFUNCTION("IMPORTRANGE(""https://docs.google.com/spreadsheets/d/1ItG2mGa2ceCfYo0BwxsXqNm01IGEUdYcSSLTEv9YCik/edit?usp=sharing"",""เบิกจ่ายกองทุน!CJ82"")"),260000)</f>
        <v>260000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t="shared" ca="1" si="96"/>
        <v>0</v>
      </c>
      <c r="U147" s="47">
        <f t="shared" ca="1" si="97"/>
        <v>0</v>
      </c>
    </row>
    <row r="148" spans="1:21" ht="19.5" x14ac:dyDescent="0.3">
      <c r="A148" s="139"/>
      <c r="B148" s="140"/>
      <c r="C148" s="409" t="s">
        <v>18</v>
      </c>
      <c r="D148" s="618" t="s">
        <v>38</v>
      </c>
      <c r="E148" s="142"/>
      <c r="F148" s="142"/>
      <c r="G148" s="143"/>
      <c r="H148" s="192"/>
      <c r="I148" s="45"/>
      <c r="J148" s="45"/>
      <c r="K148" s="46"/>
      <c r="L148" s="591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9"/>
      <c r="B149" s="200"/>
      <c r="C149" s="200"/>
      <c r="D149" s="271" t="s">
        <v>63</v>
      </c>
      <c r="E149" s="200"/>
      <c r="F149" s="200"/>
      <c r="G149" s="43"/>
      <c r="H149" s="192"/>
      <c r="I149" s="45"/>
      <c r="J149" s="169">
        <v>0</v>
      </c>
      <c r="K149" s="46"/>
      <c r="L149" s="591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9"/>
      <c r="B150" s="200"/>
      <c r="C150" s="200"/>
      <c r="D150" s="170"/>
      <c r="E150" s="199" t="s">
        <v>64</v>
      </c>
      <c r="F150" s="200"/>
      <c r="G150" s="43"/>
      <c r="H150" s="138" t="s">
        <v>35</v>
      </c>
      <c r="I150" s="372">
        <f ca="1">IFERROR(__xludf.DUMMYFUNCTION("IMPORTRANGE(""https://docs.google.com/spreadsheets/d/1eHaY18a8A9IcSdp1K8H6x8fbOy06t2VsZHhMHf-1x7Y/edit?usp=sharing"",""แผน!U82"")"),20)</f>
        <v>20</v>
      </c>
      <c r="J150" s="169">
        <v>20</v>
      </c>
      <c r="K150" s="47">
        <f t="shared" ref="K150:K154" ca="1" si="104">IF(I150&gt;0,J150*100/I150,0)</f>
        <v>100</v>
      </c>
      <c r="L150" s="591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9"/>
      <c r="B151" s="200"/>
      <c r="C151" s="200"/>
      <c r="D151" s="170"/>
      <c r="E151" s="200"/>
      <c r="F151" s="200"/>
      <c r="G151" s="43"/>
      <c r="H151" s="138" t="s">
        <v>54</v>
      </c>
      <c r="I151" s="372">
        <f ca="1">IFERROR(__xludf.DUMMYFUNCTION("IMPORTRANGE(""https://docs.google.com/spreadsheets/d/1eHaY18a8A9IcSdp1K8H6x8fbOy06t2VsZHhMHf-1x7Y/edit?usp=sharing"",""แผน!V82"")"),2)</f>
        <v>2</v>
      </c>
      <c r="J151" s="169">
        <v>2</v>
      </c>
      <c r="K151" s="47">
        <f t="shared" ca="1" si="104"/>
        <v>100</v>
      </c>
      <c r="L151" s="591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9"/>
      <c r="B152" s="200"/>
      <c r="C152" s="200"/>
      <c r="D152" s="170"/>
      <c r="E152" s="199" t="s">
        <v>65</v>
      </c>
      <c r="F152" s="200"/>
      <c r="G152" s="43"/>
      <c r="H152" s="138" t="s">
        <v>35</v>
      </c>
      <c r="I152" s="372">
        <f ca="1">IFERROR(__xludf.DUMMYFUNCTION("IMPORTRANGE(""https://docs.google.com/spreadsheets/d/1eHaY18a8A9IcSdp1K8H6x8fbOy06t2VsZHhMHf-1x7Y/edit?usp=sharing"",""แผน!W82"")"),60)</f>
        <v>60</v>
      </c>
      <c r="J152" s="169">
        <v>60</v>
      </c>
      <c r="K152" s="47">
        <f t="shared" ca="1" si="104"/>
        <v>100</v>
      </c>
      <c r="L152" s="591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9"/>
      <c r="B153" s="200"/>
      <c r="C153" s="200"/>
      <c r="D153" s="200"/>
      <c r="E153" s="200"/>
      <c r="F153" s="200"/>
      <c r="G153" s="43"/>
      <c r="H153" s="138" t="s">
        <v>54</v>
      </c>
      <c r="I153" s="372">
        <f ca="1">IFERROR(__xludf.DUMMYFUNCTION("IMPORTRANGE(""https://docs.google.com/spreadsheets/d/1eHaY18a8A9IcSdp1K8H6x8fbOy06t2VsZHhMHf-1x7Y/edit?usp=sharing"",""แผน!X82"")"),6)</f>
        <v>6</v>
      </c>
      <c r="J153" s="169">
        <v>6</v>
      </c>
      <c r="K153" s="47">
        <f t="shared" ca="1" si="104"/>
        <v>100</v>
      </c>
      <c r="L153" s="591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9"/>
      <c r="B154" s="200"/>
      <c r="C154" s="200"/>
      <c r="D154" s="271" t="s">
        <v>66</v>
      </c>
      <c r="E154" s="200"/>
      <c r="F154" s="200"/>
      <c r="G154" s="43"/>
      <c r="H154" s="138" t="s">
        <v>61</v>
      </c>
      <c r="I154" s="372">
        <f ca="1">IFERROR(__xludf.DUMMYFUNCTION("IMPORTRANGE(""https://docs.google.com/spreadsheets/d/1eHaY18a8A9IcSdp1K8H6x8fbOy06t2VsZHhMHf-1x7Y/edit?usp=sharing"",""แผน!Y82"")"),2)</f>
        <v>2</v>
      </c>
      <c r="J154" s="169">
        <v>0</v>
      </c>
      <c r="K154" s="47">
        <f t="shared" ca="1" si="104"/>
        <v>0</v>
      </c>
      <c r="L154" s="591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82"/>
      <c r="D155" s="119"/>
      <c r="E155" s="119"/>
      <c r="F155" s="119"/>
      <c r="G155" s="119"/>
      <c r="H155" s="119"/>
      <c r="I155" s="183"/>
      <c r="J155" s="183"/>
      <c r="K155" s="184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125" t="s">
        <v>68</v>
      </c>
      <c r="C156" s="28"/>
      <c r="D156" s="28"/>
      <c r="E156" s="28"/>
      <c r="F156" s="28"/>
      <c r="G156" s="31"/>
      <c r="H156" s="187" t="s">
        <v>35</v>
      </c>
      <c r="I156" s="128">
        <f t="shared" ref="I156:J156" ca="1" si="105">I169</f>
        <v>0</v>
      </c>
      <c r="J156" s="128">
        <f t="shared" si="105"/>
        <v>0</v>
      </c>
      <c r="K156" s="35">
        <f ca="1">IF(I156&gt;0,J156*100/I156,0)</f>
        <v>0</v>
      </c>
      <c r="L156" s="615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9"/>
      <c r="B157" s="200"/>
      <c r="C157" s="199" t="s">
        <v>18</v>
      </c>
      <c r="D157" s="616" t="s">
        <v>19</v>
      </c>
      <c r="E157" s="200"/>
      <c r="F157" s="200"/>
      <c r="G157" s="43"/>
      <c r="H157" s="132" t="s">
        <v>14</v>
      </c>
      <c r="I157" s="45"/>
      <c r="J157" s="45"/>
      <c r="K157" s="46"/>
      <c r="L157" s="617">
        <f t="shared" ref="L157:N157" ca="1" si="106">L158+L159</f>
        <v>0</v>
      </c>
      <c r="M157" s="133">
        <f t="shared" ca="1" si="106"/>
        <v>0</v>
      </c>
      <c r="N157" s="133">
        <f t="shared" ca="1" si="106"/>
        <v>0</v>
      </c>
      <c r="O157" s="133">
        <f t="shared" ref="O157:O165" ca="1" si="107">IF(L157&gt;0,N157*100/L157,0)</f>
        <v>0</v>
      </c>
      <c r="P157" s="133">
        <f t="shared" ref="P157:P165" ca="1" si="108">IF(M157&gt;0,N157*100/M157,0)</f>
        <v>0</v>
      </c>
      <c r="Q157" s="133">
        <f t="shared" ref="Q157:S157" ca="1" si="109">Q158+Q159</f>
        <v>0</v>
      </c>
      <c r="R157" s="133">
        <f t="shared" ca="1" si="109"/>
        <v>0</v>
      </c>
      <c r="S157" s="133">
        <f t="shared" ca="1" si="109"/>
        <v>0</v>
      </c>
      <c r="T157" s="133">
        <f t="shared" ref="T157:T165" ca="1" si="110">IF(Q157&gt;0,S157*100/Q157,0)</f>
        <v>0</v>
      </c>
      <c r="U157" s="133">
        <f t="shared" ref="U157:U165" ca="1" si="111">IF(R157&gt;0,S157*100/R157,0)</f>
        <v>0</v>
      </c>
    </row>
    <row r="158" spans="1:21" ht="18.75" hidden="1" x14ac:dyDescent="0.25">
      <c r="A158" s="129"/>
      <c r="B158" s="200"/>
      <c r="C158" s="200"/>
      <c r="D158" s="200"/>
      <c r="E158" s="158" t="s">
        <v>20</v>
      </c>
      <c r="F158" s="200"/>
      <c r="G158" s="43"/>
      <c r="H158" s="159" t="s">
        <v>14</v>
      </c>
      <c r="I158" s="45"/>
      <c r="J158" s="45"/>
      <c r="K158" s="46"/>
      <c r="L158" s="590">
        <f t="shared" ref="L158:N159" si="112">L161+L164</f>
        <v>0</v>
      </c>
      <c r="M158" s="49">
        <f t="shared" si="112"/>
        <v>0</v>
      </c>
      <c r="N158" s="49">
        <f t="shared" si="112"/>
        <v>0</v>
      </c>
      <c r="O158" s="49">
        <f t="shared" si="107"/>
        <v>0</v>
      </c>
      <c r="P158" s="49">
        <f t="shared" si="108"/>
        <v>0</v>
      </c>
      <c r="Q158" s="49">
        <f t="shared" ref="Q158:S159" si="113">Q161+Q164</f>
        <v>0</v>
      </c>
      <c r="R158" s="49">
        <f t="shared" si="113"/>
        <v>0</v>
      </c>
      <c r="S158" s="49">
        <f t="shared" si="113"/>
        <v>0</v>
      </c>
      <c r="T158" s="49">
        <f t="shared" si="110"/>
        <v>0</v>
      </c>
      <c r="U158" s="49">
        <f t="shared" si="111"/>
        <v>0</v>
      </c>
    </row>
    <row r="159" spans="1:21" ht="18.75" hidden="1" x14ac:dyDescent="0.25">
      <c r="A159" s="129"/>
      <c r="B159" s="200"/>
      <c r="C159" s="200"/>
      <c r="D159" s="200"/>
      <c r="E159" s="271" t="s">
        <v>21</v>
      </c>
      <c r="F159" s="200"/>
      <c r="G159" s="43"/>
      <c r="H159" s="134" t="s">
        <v>14</v>
      </c>
      <c r="I159" s="45"/>
      <c r="J159" s="45"/>
      <c r="K159" s="46"/>
      <c r="L159" s="588">
        <f t="shared" ca="1" si="112"/>
        <v>0</v>
      </c>
      <c r="M159" s="47">
        <f t="shared" ca="1" si="112"/>
        <v>0</v>
      </c>
      <c r="N159" s="47">
        <f t="shared" ca="1" si="112"/>
        <v>0</v>
      </c>
      <c r="O159" s="47">
        <f t="shared" ca="1" si="107"/>
        <v>0</v>
      </c>
      <c r="P159" s="47">
        <f t="shared" ca="1" si="108"/>
        <v>0</v>
      </c>
      <c r="Q159" s="47">
        <f t="shared" ca="1" si="113"/>
        <v>0</v>
      </c>
      <c r="R159" s="47">
        <f t="shared" ca="1" si="113"/>
        <v>0</v>
      </c>
      <c r="S159" s="47">
        <f t="shared" ca="1" si="113"/>
        <v>0</v>
      </c>
      <c r="T159" s="47">
        <f t="shared" ca="1" si="110"/>
        <v>0</v>
      </c>
      <c r="U159" s="47">
        <f t="shared" ca="1" si="111"/>
        <v>0</v>
      </c>
    </row>
    <row r="160" spans="1:21" ht="18.75" hidden="1" x14ac:dyDescent="0.25">
      <c r="A160" s="129"/>
      <c r="B160" s="200"/>
      <c r="C160" s="200"/>
      <c r="D160" s="42" t="s">
        <v>22</v>
      </c>
      <c r="E160" s="200"/>
      <c r="F160" s="200"/>
      <c r="G160" s="43"/>
      <c r="H160" s="135" t="s">
        <v>14</v>
      </c>
      <c r="I160" s="136"/>
      <c r="J160" s="136"/>
      <c r="K160" s="137"/>
      <c r="L160" s="588">
        <f t="shared" ref="L160:N160" ca="1" si="114">L161+L162</f>
        <v>0</v>
      </c>
      <c r="M160" s="47">
        <f t="shared" ca="1" si="114"/>
        <v>0</v>
      </c>
      <c r="N160" s="47">
        <f t="shared" ca="1" si="114"/>
        <v>0</v>
      </c>
      <c r="O160" s="47">
        <f t="shared" ca="1" si="107"/>
        <v>0</v>
      </c>
      <c r="P160" s="47">
        <f t="shared" ca="1" si="108"/>
        <v>0</v>
      </c>
      <c r="Q160" s="47">
        <f t="shared" ref="Q160:S160" ca="1" si="115">Q161+Q162</f>
        <v>0</v>
      </c>
      <c r="R160" s="47">
        <f t="shared" ca="1" si="115"/>
        <v>0</v>
      </c>
      <c r="S160" s="47">
        <f t="shared" ca="1" si="115"/>
        <v>0</v>
      </c>
      <c r="T160" s="47">
        <f t="shared" ca="1" si="110"/>
        <v>0</v>
      </c>
      <c r="U160" s="47">
        <f t="shared" ca="1" si="111"/>
        <v>0</v>
      </c>
    </row>
    <row r="161" spans="1:21" ht="18.75" hidden="1" x14ac:dyDescent="0.25">
      <c r="A161" s="129"/>
      <c r="B161" s="200"/>
      <c r="C161" s="200"/>
      <c r="D161" s="200"/>
      <c r="E161" s="158" t="s">
        <v>36</v>
      </c>
      <c r="F161" s="200"/>
      <c r="G161" s="43"/>
      <c r="H161" s="161" t="s">
        <v>14</v>
      </c>
      <c r="I161" s="136"/>
      <c r="J161" s="136"/>
      <c r="K161" s="137"/>
      <c r="L161" s="590">
        <v>0</v>
      </c>
      <c r="M161" s="49">
        <v>0</v>
      </c>
      <c r="N161" s="49">
        <v>0</v>
      </c>
      <c r="O161" s="49">
        <f t="shared" si="107"/>
        <v>0</v>
      </c>
      <c r="P161" s="49">
        <f t="shared" si="108"/>
        <v>0</v>
      </c>
      <c r="Q161" s="49">
        <v>0</v>
      </c>
      <c r="R161" s="49">
        <v>0</v>
      </c>
      <c r="S161" s="49">
        <v>0</v>
      </c>
      <c r="T161" s="49">
        <f t="shared" si="110"/>
        <v>0</v>
      </c>
      <c r="U161" s="49">
        <f t="shared" si="111"/>
        <v>0</v>
      </c>
    </row>
    <row r="162" spans="1:21" ht="18.75" hidden="1" x14ac:dyDescent="0.25">
      <c r="A162" s="129"/>
      <c r="B162" s="200"/>
      <c r="C162" s="200"/>
      <c r="D162" s="200"/>
      <c r="E162" s="271" t="s">
        <v>37</v>
      </c>
      <c r="F162" s="200"/>
      <c r="G162" s="43"/>
      <c r="H162" s="135" t="s">
        <v>14</v>
      </c>
      <c r="I162" s="136"/>
      <c r="J162" s="136"/>
      <c r="K162" s="137"/>
      <c r="L162" s="588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t="shared" ca="1" si="107"/>
        <v>0</v>
      </c>
      <c r="P162" s="47">
        <f t="shared" ca="1" si="108"/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t="shared" ca="1" si="110"/>
        <v>0</v>
      </c>
      <c r="U162" s="47">
        <f t="shared" ca="1" si="111"/>
        <v>0</v>
      </c>
    </row>
    <row r="163" spans="1:21" ht="18.75" hidden="1" x14ac:dyDescent="0.25">
      <c r="A163" s="129"/>
      <c r="B163" s="200"/>
      <c r="C163" s="200"/>
      <c r="D163" s="42" t="s">
        <v>23</v>
      </c>
      <c r="E163" s="200"/>
      <c r="F163" s="200"/>
      <c r="G163" s="43"/>
      <c r="H163" s="138" t="s">
        <v>14</v>
      </c>
      <c r="I163" s="136"/>
      <c r="J163" s="136"/>
      <c r="K163" s="137"/>
      <c r="L163" s="588">
        <f t="shared" ref="L163:N163" ca="1" si="116">L164+L165</f>
        <v>0</v>
      </c>
      <c r="M163" s="47">
        <f t="shared" ca="1" si="116"/>
        <v>0</v>
      </c>
      <c r="N163" s="47">
        <f t="shared" ca="1" si="116"/>
        <v>0</v>
      </c>
      <c r="O163" s="47">
        <f t="shared" ca="1" si="107"/>
        <v>0</v>
      </c>
      <c r="P163" s="47">
        <f t="shared" ca="1" si="108"/>
        <v>0</v>
      </c>
      <c r="Q163" s="47">
        <f t="shared" ref="Q163:S163" si="117">Q164+Q165</f>
        <v>0</v>
      </c>
      <c r="R163" s="47">
        <f t="shared" si="117"/>
        <v>0</v>
      </c>
      <c r="S163" s="47">
        <f t="shared" si="117"/>
        <v>0</v>
      </c>
      <c r="T163" s="47">
        <f t="shared" si="110"/>
        <v>0</v>
      </c>
      <c r="U163" s="47">
        <f t="shared" si="111"/>
        <v>0</v>
      </c>
    </row>
    <row r="164" spans="1:21" ht="18.75" hidden="1" x14ac:dyDescent="0.25">
      <c r="A164" s="129"/>
      <c r="B164" s="200"/>
      <c r="C164" s="200"/>
      <c r="D164" s="200"/>
      <c r="E164" s="158" t="s">
        <v>20</v>
      </c>
      <c r="F164" s="200"/>
      <c r="G164" s="43"/>
      <c r="H164" s="161" t="s">
        <v>14</v>
      </c>
      <c r="I164" s="136"/>
      <c r="J164" s="136"/>
      <c r="K164" s="137"/>
      <c r="L164" s="590">
        <v>0</v>
      </c>
      <c r="M164" s="49">
        <v>0</v>
      </c>
      <c r="N164" s="49">
        <v>0</v>
      </c>
      <c r="O164" s="49">
        <f t="shared" si="107"/>
        <v>0</v>
      </c>
      <c r="P164" s="49">
        <f t="shared" si="108"/>
        <v>0</v>
      </c>
      <c r="Q164" s="49">
        <v>0</v>
      </c>
      <c r="R164" s="49">
        <v>0</v>
      </c>
      <c r="S164" s="49">
        <v>0</v>
      </c>
      <c r="T164" s="49">
        <f t="shared" si="110"/>
        <v>0</v>
      </c>
      <c r="U164" s="49">
        <f t="shared" si="111"/>
        <v>0</v>
      </c>
    </row>
    <row r="165" spans="1:21" ht="18.75" hidden="1" x14ac:dyDescent="0.25">
      <c r="A165" s="129"/>
      <c r="B165" s="200"/>
      <c r="C165" s="200"/>
      <c r="D165" s="200"/>
      <c r="E165" s="271" t="s">
        <v>21</v>
      </c>
      <c r="F165" s="200"/>
      <c r="G165" s="43"/>
      <c r="H165" s="138" t="s">
        <v>14</v>
      </c>
      <c r="I165" s="136"/>
      <c r="J165" s="136"/>
      <c r="K165" s="137"/>
      <c r="L165" s="588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t="shared" ca="1" si="107"/>
        <v>0</v>
      </c>
      <c r="P165" s="47">
        <f t="shared" ca="1" si="108"/>
        <v>0</v>
      </c>
      <c r="Q165" s="47">
        <v>0</v>
      </c>
      <c r="R165" s="47">
        <v>0</v>
      </c>
      <c r="S165" s="47">
        <v>0</v>
      </c>
      <c r="T165" s="47">
        <f t="shared" si="110"/>
        <v>0</v>
      </c>
      <c r="U165" s="47">
        <f t="shared" si="111"/>
        <v>0</v>
      </c>
    </row>
    <row r="166" spans="1:21" ht="19.5" hidden="1" x14ac:dyDescent="0.3">
      <c r="A166" s="139"/>
      <c r="B166" s="140"/>
      <c r="C166" s="199" t="s">
        <v>18</v>
      </c>
      <c r="D166" s="618" t="s">
        <v>38</v>
      </c>
      <c r="E166" s="142"/>
      <c r="F166" s="142"/>
      <c r="G166" s="143"/>
      <c r="H166" s="192"/>
      <c r="I166" s="45"/>
      <c r="J166" s="45"/>
      <c r="K166" s="46"/>
      <c r="L166" s="591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9"/>
      <c r="B167" s="200"/>
      <c r="C167" s="200"/>
      <c r="D167" s="271" t="s">
        <v>69</v>
      </c>
      <c r="E167" s="200"/>
      <c r="F167" s="200"/>
      <c r="G167" s="43"/>
      <c r="H167" s="138" t="s">
        <v>35</v>
      </c>
      <c r="I167" s="372">
        <f ca="1">IFERROR(__xludf.DUMMYFUNCTION("IMPORTRANGE(""https://docs.google.com/spreadsheets/d/1eHaY18a8A9IcSdp1K8H6x8fbOy06t2VsZHhMHf-1x7Y/edit?usp=sharing"",""แผน!Z82"")"),0)</f>
        <v>0</v>
      </c>
      <c r="J167" s="169">
        <v>0</v>
      </c>
      <c r="K167" s="47">
        <f t="shared" ref="K167:K169" ca="1" si="118">IF(I167&gt;0,J167*100/I167,0)</f>
        <v>0</v>
      </c>
      <c r="L167" s="591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9"/>
      <c r="B168" s="200"/>
      <c r="C168" s="200"/>
      <c r="D168" s="158" t="s">
        <v>70</v>
      </c>
      <c r="E168" s="200"/>
      <c r="F168" s="200"/>
      <c r="G168" s="43"/>
      <c r="H168" s="515" t="s">
        <v>35</v>
      </c>
      <c r="I168" s="517">
        <f ca="1">IFERROR(__xludf.DUMMYFUNCTION("IMPORTRANGE(""https://docs.google.com/spreadsheets/d/1eHaY18a8A9IcSdp1K8H6x8fbOy06t2VsZHhMHf-1x7Y/edit?usp=sharing"",""แผน!Z82"")"),0)</f>
        <v>0</v>
      </c>
      <c r="J168" s="627">
        <v>0</v>
      </c>
      <c r="K168" s="49">
        <f t="shared" ca="1" si="118"/>
        <v>0</v>
      </c>
      <c r="L168" s="591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202"/>
      <c r="B169" s="1"/>
      <c r="C169" s="1"/>
      <c r="D169" s="518" t="s">
        <v>71</v>
      </c>
      <c r="E169" s="1"/>
      <c r="F169" s="1"/>
      <c r="G169" s="53"/>
      <c r="H169" s="628" t="s">
        <v>35</v>
      </c>
      <c r="I169" s="520">
        <f ca="1">IFERROR(__xludf.DUMMYFUNCTION("IMPORTRANGE(""https://docs.google.com/spreadsheets/d/1eHaY18a8A9IcSdp1K8H6x8fbOy06t2VsZHhMHf-1x7Y/edit?usp=sharing"",""แผน!Z82"")"),0)</f>
        <v>0</v>
      </c>
      <c r="J169" s="629">
        <v>0</v>
      </c>
      <c r="K169" s="630">
        <f t="shared" ca="1" si="118"/>
        <v>0</v>
      </c>
      <c r="L169" s="592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206" t="s">
        <v>72</v>
      </c>
      <c r="B170" s="207"/>
      <c r="C170" s="207"/>
      <c r="D170" s="207"/>
      <c r="E170" s="208"/>
      <c r="F170" s="208"/>
      <c r="G170" s="208"/>
      <c r="H170" s="208"/>
      <c r="I170" s="209"/>
      <c r="J170" s="209"/>
      <c r="K170" s="210"/>
      <c r="L170" s="210"/>
      <c r="M170" s="210"/>
      <c r="N170" s="210"/>
      <c r="O170" s="210"/>
      <c r="P170" s="211"/>
      <c r="Q170" s="210"/>
      <c r="R170" s="210"/>
      <c r="S170" s="210"/>
      <c r="T170" s="210"/>
      <c r="U170" s="211"/>
    </row>
    <row r="171" spans="1:21" ht="19.5" hidden="1" x14ac:dyDescent="0.3">
      <c r="A171" s="212" t="s">
        <v>73</v>
      </c>
      <c r="B171" s="213"/>
      <c r="C171" s="213"/>
      <c r="D171" s="214"/>
      <c r="E171" s="214"/>
      <c r="F171" s="214"/>
      <c r="G171" s="214"/>
      <c r="H171" s="215"/>
      <c r="I171" s="216"/>
      <c r="J171" s="216"/>
      <c r="K171" s="217"/>
      <c r="L171" s="631"/>
      <c r="M171" s="217"/>
      <c r="N171" s="217"/>
      <c r="O171" s="217"/>
      <c r="P171" s="217"/>
      <c r="Q171" s="217"/>
      <c r="R171" s="217"/>
      <c r="S171" s="217"/>
      <c r="T171" s="217"/>
      <c r="U171" s="217"/>
    </row>
    <row r="172" spans="1:21" ht="19.5" hidden="1" x14ac:dyDescent="0.3">
      <c r="A172" s="218"/>
      <c r="B172" s="327" t="s">
        <v>74</v>
      </c>
      <c r="C172" s="220"/>
      <c r="D172" s="142"/>
      <c r="E172" s="142"/>
      <c r="F172" s="142"/>
      <c r="G172" s="143"/>
      <c r="H172" s="221" t="s">
        <v>35</v>
      </c>
      <c r="I172" s="222">
        <f t="shared" ref="I172:J172" ca="1" si="119">I183+I184</f>
        <v>0</v>
      </c>
      <c r="J172" s="222">
        <f t="shared" si="119"/>
        <v>0</v>
      </c>
      <c r="K172" s="223">
        <f ca="1">IF(I172&gt;0,J172*100/I172,0)</f>
        <v>0</v>
      </c>
      <c r="L172" s="632"/>
      <c r="M172" s="224"/>
      <c r="N172" s="224"/>
      <c r="O172" s="224"/>
      <c r="P172" s="224"/>
      <c r="Q172" s="224"/>
      <c r="R172" s="224"/>
      <c r="S172" s="224"/>
      <c r="T172" s="224"/>
      <c r="U172" s="224"/>
    </row>
    <row r="173" spans="1:21" ht="19.5" hidden="1" x14ac:dyDescent="0.3">
      <c r="A173" s="129"/>
      <c r="B173" s="200"/>
      <c r="C173" s="199" t="s">
        <v>18</v>
      </c>
      <c r="D173" s="616" t="s">
        <v>19</v>
      </c>
      <c r="E173" s="200"/>
      <c r="F173" s="200"/>
      <c r="G173" s="43"/>
      <c r="H173" s="132" t="s">
        <v>14</v>
      </c>
      <c r="I173" s="45"/>
      <c r="J173" s="45"/>
      <c r="K173" s="46"/>
      <c r="L173" s="617">
        <f t="shared" ref="L173:N173" ca="1" si="120">L174+L175</f>
        <v>0</v>
      </c>
      <c r="M173" s="133">
        <f t="shared" ca="1" si="120"/>
        <v>0</v>
      </c>
      <c r="N173" s="133">
        <f t="shared" ca="1" si="120"/>
        <v>0</v>
      </c>
      <c r="O173" s="133">
        <f t="shared" ref="O173:O181" ca="1" si="121">IF(L173&gt;0,N173*100/L173,0)</f>
        <v>0</v>
      </c>
      <c r="P173" s="133">
        <f t="shared" ref="P173:P181" ca="1" si="122">IF(M173&gt;0,N173*100/M173,0)</f>
        <v>0</v>
      </c>
      <c r="Q173" s="133">
        <f t="shared" ref="Q173:S173" ca="1" si="123">Q174+Q175</f>
        <v>0</v>
      </c>
      <c r="R173" s="133">
        <f t="shared" ca="1" si="123"/>
        <v>0</v>
      </c>
      <c r="S173" s="133">
        <f t="shared" ca="1" si="123"/>
        <v>0</v>
      </c>
      <c r="T173" s="133">
        <f t="shared" ref="T173:T181" ca="1" si="124">IF(Q173&gt;0,S173*100/Q173,0)</f>
        <v>0</v>
      </c>
      <c r="U173" s="133">
        <f t="shared" ref="U173:U181" ca="1" si="125">IF(R173&gt;0,S173*100/R173,0)</f>
        <v>0</v>
      </c>
    </row>
    <row r="174" spans="1:21" ht="18.75" hidden="1" x14ac:dyDescent="0.25">
      <c r="A174" s="129"/>
      <c r="B174" s="200"/>
      <c r="C174" s="200"/>
      <c r="D174" s="200"/>
      <c r="E174" s="158" t="s">
        <v>20</v>
      </c>
      <c r="F174" s="200"/>
      <c r="G174" s="43"/>
      <c r="H174" s="159" t="s">
        <v>14</v>
      </c>
      <c r="I174" s="45"/>
      <c r="J174" s="45"/>
      <c r="K174" s="46"/>
      <c r="L174" s="590">
        <f t="shared" ref="L174:N175" si="126">L177+L180</f>
        <v>0</v>
      </c>
      <c r="M174" s="49">
        <f t="shared" si="126"/>
        <v>0</v>
      </c>
      <c r="N174" s="49">
        <f t="shared" si="126"/>
        <v>0</v>
      </c>
      <c r="O174" s="49">
        <f t="shared" si="121"/>
        <v>0</v>
      </c>
      <c r="P174" s="49">
        <f t="shared" si="122"/>
        <v>0</v>
      </c>
      <c r="Q174" s="49">
        <f t="shared" ref="Q174:S175" si="127">Q177+Q180</f>
        <v>0</v>
      </c>
      <c r="R174" s="49">
        <f t="shared" si="127"/>
        <v>0</v>
      </c>
      <c r="S174" s="49">
        <f t="shared" si="127"/>
        <v>0</v>
      </c>
      <c r="T174" s="49">
        <f t="shared" si="124"/>
        <v>0</v>
      </c>
      <c r="U174" s="49">
        <f t="shared" si="125"/>
        <v>0</v>
      </c>
    </row>
    <row r="175" spans="1:21" ht="18.75" hidden="1" x14ac:dyDescent="0.25">
      <c r="A175" s="129"/>
      <c r="B175" s="200"/>
      <c r="C175" s="200"/>
      <c r="D175" s="200"/>
      <c r="E175" s="271" t="s">
        <v>21</v>
      </c>
      <c r="F175" s="200"/>
      <c r="G175" s="43"/>
      <c r="H175" s="134" t="s">
        <v>14</v>
      </c>
      <c r="I175" s="45"/>
      <c r="J175" s="45"/>
      <c r="K175" s="46"/>
      <c r="L175" s="588">
        <f t="shared" ca="1" si="126"/>
        <v>0</v>
      </c>
      <c r="M175" s="47">
        <f t="shared" ca="1" si="126"/>
        <v>0</v>
      </c>
      <c r="N175" s="47">
        <f t="shared" ca="1" si="126"/>
        <v>0</v>
      </c>
      <c r="O175" s="47">
        <f t="shared" ca="1" si="121"/>
        <v>0</v>
      </c>
      <c r="P175" s="47">
        <f t="shared" ca="1" si="122"/>
        <v>0</v>
      </c>
      <c r="Q175" s="47">
        <f t="shared" ca="1" si="127"/>
        <v>0</v>
      </c>
      <c r="R175" s="47">
        <f t="shared" ca="1" si="127"/>
        <v>0</v>
      </c>
      <c r="S175" s="47">
        <f t="shared" ca="1" si="127"/>
        <v>0</v>
      </c>
      <c r="T175" s="47">
        <f t="shared" ca="1" si="124"/>
        <v>0</v>
      </c>
      <c r="U175" s="47">
        <f t="shared" ca="1" si="125"/>
        <v>0</v>
      </c>
    </row>
    <row r="176" spans="1:21" ht="18.75" hidden="1" x14ac:dyDescent="0.25">
      <c r="A176" s="129"/>
      <c r="B176" s="200"/>
      <c r="C176" s="200"/>
      <c r="D176" s="42" t="s">
        <v>22</v>
      </c>
      <c r="E176" s="200"/>
      <c r="F176" s="200"/>
      <c r="G176" s="43"/>
      <c r="H176" s="135" t="s">
        <v>14</v>
      </c>
      <c r="I176" s="136"/>
      <c r="J176" s="136"/>
      <c r="K176" s="137"/>
      <c r="L176" s="588">
        <f t="shared" ref="L176:N176" ca="1" si="128">L177+L178</f>
        <v>0</v>
      </c>
      <c r="M176" s="47">
        <f t="shared" ca="1" si="128"/>
        <v>0</v>
      </c>
      <c r="N176" s="47">
        <f t="shared" ca="1" si="128"/>
        <v>0</v>
      </c>
      <c r="O176" s="47">
        <f t="shared" ca="1" si="121"/>
        <v>0</v>
      </c>
      <c r="P176" s="47">
        <f t="shared" ca="1" si="122"/>
        <v>0</v>
      </c>
      <c r="Q176" s="47">
        <f t="shared" ref="Q176:S176" ca="1" si="129">Q177+Q178</f>
        <v>0</v>
      </c>
      <c r="R176" s="47">
        <f t="shared" ca="1" si="129"/>
        <v>0</v>
      </c>
      <c r="S176" s="47">
        <f t="shared" ca="1" si="129"/>
        <v>0</v>
      </c>
      <c r="T176" s="47">
        <f t="shared" ca="1" si="124"/>
        <v>0</v>
      </c>
      <c r="U176" s="47">
        <f t="shared" ca="1" si="125"/>
        <v>0</v>
      </c>
    </row>
    <row r="177" spans="1:21" ht="18.75" hidden="1" x14ac:dyDescent="0.25">
      <c r="A177" s="129"/>
      <c r="B177" s="200"/>
      <c r="C177" s="200"/>
      <c r="D177" s="200"/>
      <c r="E177" s="158" t="s">
        <v>36</v>
      </c>
      <c r="F177" s="200"/>
      <c r="G177" s="43"/>
      <c r="H177" s="161" t="s">
        <v>14</v>
      </c>
      <c r="I177" s="136"/>
      <c r="J177" s="136"/>
      <c r="K177" s="137"/>
      <c r="L177" s="590">
        <v>0</v>
      </c>
      <c r="M177" s="49">
        <v>0</v>
      </c>
      <c r="N177" s="49">
        <v>0</v>
      </c>
      <c r="O177" s="49">
        <f t="shared" si="121"/>
        <v>0</v>
      </c>
      <c r="P177" s="49">
        <f t="shared" si="122"/>
        <v>0</v>
      </c>
      <c r="Q177" s="49">
        <v>0</v>
      </c>
      <c r="R177" s="49">
        <v>0</v>
      </c>
      <c r="S177" s="49">
        <v>0</v>
      </c>
      <c r="T177" s="49">
        <f t="shared" si="124"/>
        <v>0</v>
      </c>
      <c r="U177" s="49">
        <f t="shared" si="125"/>
        <v>0</v>
      </c>
    </row>
    <row r="178" spans="1:21" ht="18.75" hidden="1" x14ac:dyDescent="0.25">
      <c r="A178" s="129"/>
      <c r="B178" s="200"/>
      <c r="C178" s="200"/>
      <c r="D178" s="200"/>
      <c r="E178" s="271" t="s">
        <v>37</v>
      </c>
      <c r="F178" s="200"/>
      <c r="G178" s="43"/>
      <c r="H178" s="135" t="s">
        <v>14</v>
      </c>
      <c r="I178" s="136"/>
      <c r="J178" s="136"/>
      <c r="K178" s="137"/>
      <c r="L178" s="588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t="shared" ca="1" si="121"/>
        <v>0</v>
      </c>
      <c r="P178" s="47">
        <f t="shared" ca="1" si="122"/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t="shared" ca="1" si="124"/>
        <v>0</v>
      </c>
      <c r="U178" s="47">
        <f t="shared" ca="1" si="125"/>
        <v>0</v>
      </c>
    </row>
    <row r="179" spans="1:21" ht="18.75" hidden="1" x14ac:dyDescent="0.25">
      <c r="A179" s="129"/>
      <c r="B179" s="200"/>
      <c r="C179" s="200"/>
      <c r="D179" s="42" t="s">
        <v>23</v>
      </c>
      <c r="E179" s="200"/>
      <c r="F179" s="200"/>
      <c r="G179" s="43"/>
      <c r="H179" s="138" t="s">
        <v>14</v>
      </c>
      <c r="I179" s="136"/>
      <c r="J179" s="136"/>
      <c r="K179" s="137"/>
      <c r="L179" s="588">
        <f t="shared" ref="L179:N179" ca="1" si="130">L180+L181</f>
        <v>0</v>
      </c>
      <c r="M179" s="47">
        <f t="shared" ca="1" si="130"/>
        <v>0</v>
      </c>
      <c r="N179" s="47">
        <f t="shared" ca="1" si="130"/>
        <v>0</v>
      </c>
      <c r="O179" s="47">
        <f t="shared" ca="1" si="121"/>
        <v>0</v>
      </c>
      <c r="P179" s="47">
        <f t="shared" ca="1" si="122"/>
        <v>0</v>
      </c>
      <c r="Q179" s="47">
        <f t="shared" ref="Q179:S179" si="131">Q180+Q181</f>
        <v>0</v>
      </c>
      <c r="R179" s="47">
        <f t="shared" si="131"/>
        <v>0</v>
      </c>
      <c r="S179" s="47">
        <f t="shared" si="131"/>
        <v>0</v>
      </c>
      <c r="T179" s="47">
        <f t="shared" si="124"/>
        <v>0</v>
      </c>
      <c r="U179" s="47">
        <f t="shared" si="125"/>
        <v>0</v>
      </c>
    </row>
    <row r="180" spans="1:21" ht="18.75" hidden="1" x14ac:dyDescent="0.25">
      <c r="A180" s="129"/>
      <c r="B180" s="200"/>
      <c r="C180" s="200"/>
      <c r="D180" s="200"/>
      <c r="E180" s="158" t="s">
        <v>20</v>
      </c>
      <c r="F180" s="200"/>
      <c r="G180" s="43"/>
      <c r="H180" s="161" t="s">
        <v>14</v>
      </c>
      <c r="I180" s="136"/>
      <c r="J180" s="136"/>
      <c r="K180" s="137"/>
      <c r="L180" s="590">
        <v>0</v>
      </c>
      <c r="M180" s="49">
        <v>0</v>
      </c>
      <c r="N180" s="49">
        <v>0</v>
      </c>
      <c r="O180" s="49">
        <f t="shared" si="121"/>
        <v>0</v>
      </c>
      <c r="P180" s="49">
        <f t="shared" si="122"/>
        <v>0</v>
      </c>
      <c r="Q180" s="49">
        <v>0</v>
      </c>
      <c r="R180" s="49">
        <v>0</v>
      </c>
      <c r="S180" s="49">
        <v>0</v>
      </c>
      <c r="T180" s="49">
        <f t="shared" si="124"/>
        <v>0</v>
      </c>
      <c r="U180" s="49">
        <f t="shared" si="125"/>
        <v>0</v>
      </c>
    </row>
    <row r="181" spans="1:21" ht="18.75" hidden="1" x14ac:dyDescent="0.25">
      <c r="A181" s="129"/>
      <c r="B181" s="200"/>
      <c r="C181" s="200"/>
      <c r="D181" s="200"/>
      <c r="E181" s="271" t="s">
        <v>21</v>
      </c>
      <c r="F181" s="200"/>
      <c r="G181" s="43"/>
      <c r="H181" s="138" t="s">
        <v>14</v>
      </c>
      <c r="I181" s="136"/>
      <c r="J181" s="136"/>
      <c r="K181" s="137"/>
      <c r="L181" s="588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t="shared" ca="1" si="121"/>
        <v>0</v>
      </c>
      <c r="P181" s="47">
        <f t="shared" ca="1" si="122"/>
        <v>0</v>
      </c>
      <c r="Q181" s="47">
        <v>0</v>
      </c>
      <c r="R181" s="47">
        <v>0</v>
      </c>
      <c r="S181" s="47">
        <v>0</v>
      </c>
      <c r="T181" s="47">
        <f t="shared" si="124"/>
        <v>0</v>
      </c>
      <c r="U181" s="47">
        <f t="shared" si="125"/>
        <v>0</v>
      </c>
    </row>
    <row r="182" spans="1:21" ht="19.5" hidden="1" x14ac:dyDescent="0.3">
      <c r="A182" s="139"/>
      <c r="B182" s="140"/>
      <c r="C182" s="199" t="s">
        <v>18</v>
      </c>
      <c r="D182" s="618" t="s">
        <v>38</v>
      </c>
      <c r="E182" s="142"/>
      <c r="F182" s="142"/>
      <c r="G182" s="143"/>
      <c r="H182" s="192"/>
      <c r="I182" s="45"/>
      <c r="J182" s="45"/>
      <c r="K182" s="46"/>
      <c r="L182" s="591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25"/>
      <c r="B183" s="200"/>
      <c r="C183" s="160"/>
      <c r="D183" s="496" t="s">
        <v>75</v>
      </c>
      <c r="E183" s="200"/>
      <c r="F183" s="200"/>
      <c r="G183" s="43"/>
      <c r="H183" s="227" t="s">
        <v>35</v>
      </c>
      <c r="I183" s="372">
        <f ca="1">IFERROR(__xludf.DUMMYFUNCTION("IMPORTRANGE(""https://docs.google.com/spreadsheets/d/1eHaY18a8A9IcSdp1K8H6x8fbOy06t2VsZHhMHf-1x7Y/edit?usp=sharing"",""แผน!AA82"")"),0)</f>
        <v>0</v>
      </c>
      <c r="J183" s="169">
        <v>0</v>
      </c>
      <c r="K183" s="47">
        <f t="shared" ref="K183:K185" ca="1" si="132">IF(I183&gt;0,J183*100/I183,0)</f>
        <v>0</v>
      </c>
      <c r="L183" s="591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25"/>
      <c r="B184" s="160"/>
      <c r="C184" s="160"/>
      <c r="D184" s="511" t="s">
        <v>76</v>
      </c>
      <c r="E184" s="200"/>
      <c r="F184" s="200"/>
      <c r="G184" s="43"/>
      <c r="H184" s="633" t="s">
        <v>35</v>
      </c>
      <c r="I184" s="517">
        <v>0</v>
      </c>
      <c r="J184" s="517">
        <v>0</v>
      </c>
      <c r="K184" s="49">
        <f t="shared" si="132"/>
        <v>0</v>
      </c>
      <c r="L184" s="591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8"/>
      <c r="B185" s="327" t="s">
        <v>77</v>
      </c>
      <c r="C185" s="220"/>
      <c r="D185" s="142"/>
      <c r="E185" s="142"/>
      <c r="F185" s="142"/>
      <c r="G185" s="143"/>
      <c r="H185" s="221" t="s">
        <v>35</v>
      </c>
      <c r="I185" s="222">
        <f t="shared" ref="I185:J185" ca="1" si="133">I230+I231</f>
        <v>0</v>
      </c>
      <c r="J185" s="222">
        <f t="shared" si="133"/>
        <v>11</v>
      </c>
      <c r="K185" s="223">
        <f t="shared" ca="1" si="132"/>
        <v>0</v>
      </c>
      <c r="L185" s="632"/>
      <c r="M185" s="224"/>
      <c r="N185" s="224"/>
      <c r="O185" s="224"/>
      <c r="P185" s="224"/>
      <c r="Q185" s="224"/>
      <c r="R185" s="224"/>
      <c r="S185" s="224"/>
      <c r="T185" s="224"/>
      <c r="U185" s="224"/>
    </row>
    <row r="186" spans="1:21" ht="19.5" x14ac:dyDescent="0.3">
      <c r="A186" s="129"/>
      <c r="B186" s="200"/>
      <c r="C186" s="409" t="s">
        <v>18</v>
      </c>
      <c r="D186" s="616" t="s">
        <v>19</v>
      </c>
      <c r="E186" s="200"/>
      <c r="F186" s="200"/>
      <c r="G186" s="43"/>
      <c r="H186" s="132" t="s">
        <v>14</v>
      </c>
      <c r="I186" s="45"/>
      <c r="J186" s="45"/>
      <c r="K186" s="46"/>
      <c r="L186" s="617">
        <f t="shared" ref="L186:N186" ca="1" si="134">L187+L188</f>
        <v>66200</v>
      </c>
      <c r="M186" s="133">
        <f t="shared" ca="1" si="134"/>
        <v>68200</v>
      </c>
      <c r="N186" s="133">
        <f t="shared" ca="1" si="134"/>
        <v>59229.3</v>
      </c>
      <c r="O186" s="133">
        <f t="shared" ref="O186:O194" ca="1" si="135">IF(L186&gt;0,N186*100/L186,0)</f>
        <v>89.470241691842901</v>
      </c>
      <c r="P186" s="133">
        <f t="shared" ref="P186:P194" ca="1" si="136">IF(M186&gt;0,N186*100/M186,0)</f>
        <v>86.84648093841642</v>
      </c>
      <c r="Q186" s="133">
        <f t="shared" ref="Q186:S186" ca="1" si="137">Q187+Q188</f>
        <v>28000</v>
      </c>
      <c r="R186" s="133">
        <f t="shared" ca="1" si="137"/>
        <v>28000</v>
      </c>
      <c r="S186" s="133">
        <f t="shared" ca="1" si="137"/>
        <v>28000</v>
      </c>
      <c r="T186" s="133">
        <f t="shared" ref="T186:T194" ca="1" si="138">IF(Q186&gt;0,S186*100/Q186,0)</f>
        <v>100</v>
      </c>
      <c r="U186" s="133">
        <f t="shared" ref="U186:U194" ca="1" si="139">IF(R186&gt;0,S186*100/R186,0)</f>
        <v>100</v>
      </c>
    </row>
    <row r="187" spans="1:21" ht="18.75" hidden="1" x14ac:dyDescent="0.25">
      <c r="A187" s="129"/>
      <c r="B187" s="200"/>
      <c r="C187" s="200"/>
      <c r="D187" s="200"/>
      <c r="E187" s="158" t="s">
        <v>20</v>
      </c>
      <c r="F187" s="200"/>
      <c r="G187" s="43"/>
      <c r="H187" s="159" t="s">
        <v>14</v>
      </c>
      <c r="I187" s="45"/>
      <c r="J187" s="45"/>
      <c r="K187" s="46"/>
      <c r="L187" s="590">
        <f t="shared" ref="L187:N188" si="140">L190+L193</f>
        <v>0</v>
      </c>
      <c r="M187" s="49">
        <f t="shared" si="140"/>
        <v>0</v>
      </c>
      <c r="N187" s="49">
        <f t="shared" si="140"/>
        <v>0</v>
      </c>
      <c r="O187" s="49">
        <f t="shared" si="135"/>
        <v>0</v>
      </c>
      <c r="P187" s="49">
        <f t="shared" si="136"/>
        <v>0</v>
      </c>
      <c r="Q187" s="49">
        <f t="shared" ref="Q187:S188" si="141">Q190+Q193</f>
        <v>0</v>
      </c>
      <c r="R187" s="49">
        <f t="shared" si="141"/>
        <v>0</v>
      </c>
      <c r="S187" s="49">
        <f t="shared" si="141"/>
        <v>0</v>
      </c>
      <c r="T187" s="49">
        <f t="shared" si="138"/>
        <v>0</v>
      </c>
      <c r="U187" s="49">
        <f t="shared" si="139"/>
        <v>0</v>
      </c>
    </row>
    <row r="188" spans="1:21" ht="18.75" hidden="1" x14ac:dyDescent="0.25">
      <c r="A188" s="129"/>
      <c r="B188" s="200"/>
      <c r="C188" s="200"/>
      <c r="D188" s="200"/>
      <c r="E188" s="271" t="s">
        <v>21</v>
      </c>
      <c r="F188" s="200"/>
      <c r="G188" s="43"/>
      <c r="H188" s="134" t="s">
        <v>14</v>
      </c>
      <c r="I188" s="45"/>
      <c r="J188" s="45"/>
      <c r="K188" s="46"/>
      <c r="L188" s="588">
        <f t="shared" ca="1" si="140"/>
        <v>66200</v>
      </c>
      <c r="M188" s="47">
        <f t="shared" ca="1" si="140"/>
        <v>68200</v>
      </c>
      <c r="N188" s="47">
        <f t="shared" ca="1" si="140"/>
        <v>59229.3</v>
      </c>
      <c r="O188" s="47">
        <f t="shared" ca="1" si="135"/>
        <v>89.470241691842901</v>
      </c>
      <c r="P188" s="47">
        <f t="shared" ca="1" si="136"/>
        <v>86.84648093841642</v>
      </c>
      <c r="Q188" s="47">
        <f t="shared" ca="1" si="141"/>
        <v>28000</v>
      </c>
      <c r="R188" s="47">
        <f t="shared" ca="1" si="141"/>
        <v>28000</v>
      </c>
      <c r="S188" s="47">
        <f t="shared" ca="1" si="141"/>
        <v>28000</v>
      </c>
      <c r="T188" s="47">
        <f t="shared" ca="1" si="138"/>
        <v>100</v>
      </c>
      <c r="U188" s="47">
        <f t="shared" ca="1" si="139"/>
        <v>100</v>
      </c>
    </row>
    <row r="189" spans="1:21" ht="18.75" x14ac:dyDescent="0.25">
      <c r="A189" s="129"/>
      <c r="B189" s="200"/>
      <c r="C189" s="200"/>
      <c r="D189" s="42" t="s">
        <v>22</v>
      </c>
      <c r="E189" s="200"/>
      <c r="F189" s="200"/>
      <c r="G189" s="43"/>
      <c r="H189" s="135" t="s">
        <v>14</v>
      </c>
      <c r="I189" s="136"/>
      <c r="J189" s="136"/>
      <c r="K189" s="137"/>
      <c r="L189" s="588">
        <f t="shared" ref="L189:N189" ca="1" si="142">L190+L191</f>
        <v>66200</v>
      </c>
      <c r="M189" s="47">
        <f t="shared" ca="1" si="142"/>
        <v>68200</v>
      </c>
      <c r="N189" s="47">
        <f t="shared" ca="1" si="142"/>
        <v>59229.3</v>
      </c>
      <c r="O189" s="47">
        <f t="shared" ca="1" si="135"/>
        <v>89.470241691842901</v>
      </c>
      <c r="P189" s="47">
        <f t="shared" ca="1" si="136"/>
        <v>86.84648093841642</v>
      </c>
      <c r="Q189" s="47">
        <f t="shared" ref="Q189:S189" ca="1" si="143">Q190+Q191</f>
        <v>28000</v>
      </c>
      <c r="R189" s="47">
        <f t="shared" ca="1" si="143"/>
        <v>28000</v>
      </c>
      <c r="S189" s="47">
        <f t="shared" ca="1" si="143"/>
        <v>28000</v>
      </c>
      <c r="T189" s="47">
        <f t="shared" ca="1" si="138"/>
        <v>100</v>
      </c>
      <c r="U189" s="47">
        <f t="shared" ca="1" si="139"/>
        <v>100</v>
      </c>
    </row>
    <row r="190" spans="1:21" ht="18.75" hidden="1" x14ac:dyDescent="0.25">
      <c r="A190" s="129"/>
      <c r="B190" s="200"/>
      <c r="C190" s="200"/>
      <c r="D190" s="200"/>
      <c r="E190" s="158" t="s">
        <v>36</v>
      </c>
      <c r="F190" s="200"/>
      <c r="G190" s="43"/>
      <c r="H190" s="161" t="s">
        <v>14</v>
      </c>
      <c r="I190" s="136"/>
      <c r="J190" s="136"/>
      <c r="K190" s="137"/>
      <c r="L190" s="590">
        <v>0</v>
      </c>
      <c r="M190" s="49">
        <v>0</v>
      </c>
      <c r="N190" s="49">
        <v>0</v>
      </c>
      <c r="O190" s="49">
        <f t="shared" si="135"/>
        <v>0</v>
      </c>
      <c r="P190" s="49">
        <f t="shared" si="136"/>
        <v>0</v>
      </c>
      <c r="Q190" s="49">
        <v>0</v>
      </c>
      <c r="R190" s="49">
        <v>0</v>
      </c>
      <c r="S190" s="49">
        <v>0</v>
      </c>
      <c r="T190" s="49">
        <f t="shared" si="138"/>
        <v>0</v>
      </c>
      <c r="U190" s="49">
        <f t="shared" si="139"/>
        <v>0</v>
      </c>
    </row>
    <row r="191" spans="1:21" ht="18.75" hidden="1" x14ac:dyDescent="0.25">
      <c r="A191" s="129"/>
      <c r="B191" s="200"/>
      <c r="C191" s="200"/>
      <c r="D191" s="200"/>
      <c r="E191" s="271" t="s">
        <v>37</v>
      </c>
      <c r="F191" s="200"/>
      <c r="G191" s="43"/>
      <c r="H191" s="135" t="s">
        <v>14</v>
      </c>
      <c r="I191" s="136"/>
      <c r="J191" s="136"/>
      <c r="K191" s="137"/>
      <c r="L191" s="588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IFERROR(__xludf.DUMMYFUNCTION("IMPORTRANGE(""https://docs.google.com/spreadsheets/d/1-uDff_7J0KD5mKrp0Vvzr7lt3OU09vwQwhkpOPPYv2Y/edit?usp=sharing"",""งบพรบ!CZ82"")"),68200)</f>
        <v>68200</v>
      </c>
      <c r="N191" s="47">
        <f ca="1">IFERROR(__xludf.DUMMYFUNCTION("IMPORTRANGE(""https://docs.google.com/spreadsheets/d/1-uDff_7J0KD5mKrp0Vvzr7lt3OU09vwQwhkpOPPYv2Y/edit?usp=sharing"",""งบพรบ!DB82"")"),59229.3)</f>
        <v>59229.3</v>
      </c>
      <c r="O191" s="47">
        <f t="shared" ca="1" si="135"/>
        <v>89.470241691842901</v>
      </c>
      <c r="P191" s="47">
        <f t="shared" ca="1" si="136"/>
        <v>86.84648093841642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IFERROR(__xludf.DUMMYFUNCTION("IMPORTRANGE(""https://docs.google.com/spreadsheets/d/1ItG2mGa2ceCfYo0BwxsXqNm01IGEUdYcSSLTEv9YCik/edit?usp=sharing"",""เบิกจ่ายกองทุน!BS82"")"),28000)</f>
        <v>28000</v>
      </c>
      <c r="T191" s="47">
        <f t="shared" ca="1" si="138"/>
        <v>100</v>
      </c>
      <c r="U191" s="47">
        <f t="shared" ca="1" si="139"/>
        <v>100</v>
      </c>
    </row>
    <row r="192" spans="1:21" ht="18.75" x14ac:dyDescent="0.25">
      <c r="A192" s="129"/>
      <c r="B192" s="200"/>
      <c r="C192" s="200"/>
      <c r="D192" s="42" t="s">
        <v>23</v>
      </c>
      <c r="E192" s="200"/>
      <c r="F192" s="200"/>
      <c r="G192" s="43"/>
      <c r="H192" s="138" t="s">
        <v>14</v>
      </c>
      <c r="I192" s="136"/>
      <c r="J192" s="136"/>
      <c r="K192" s="137"/>
      <c r="L192" s="588">
        <f t="shared" ref="L192:N192" ca="1" si="144">L193+L194</f>
        <v>0</v>
      </c>
      <c r="M192" s="47">
        <f t="shared" ca="1" si="144"/>
        <v>0</v>
      </c>
      <c r="N192" s="47">
        <f t="shared" ca="1" si="144"/>
        <v>0</v>
      </c>
      <c r="O192" s="47">
        <f t="shared" ca="1" si="135"/>
        <v>0</v>
      </c>
      <c r="P192" s="47">
        <f t="shared" ca="1" si="136"/>
        <v>0</v>
      </c>
      <c r="Q192" s="47">
        <f t="shared" ref="Q192:S192" ca="1" si="145">Q193+Q194</f>
        <v>0</v>
      </c>
      <c r="R192" s="47">
        <f t="shared" ca="1" si="145"/>
        <v>0</v>
      </c>
      <c r="S192" s="47">
        <f t="shared" ca="1" si="145"/>
        <v>0</v>
      </c>
      <c r="T192" s="47">
        <f t="shared" ca="1" si="138"/>
        <v>0</v>
      </c>
      <c r="U192" s="47">
        <f t="shared" ca="1" si="139"/>
        <v>0</v>
      </c>
    </row>
    <row r="193" spans="1:21" ht="18.75" hidden="1" x14ac:dyDescent="0.25">
      <c r="A193" s="129"/>
      <c r="B193" s="200"/>
      <c r="C193" s="200"/>
      <c r="D193" s="200"/>
      <c r="E193" s="158" t="s">
        <v>20</v>
      </c>
      <c r="F193" s="200"/>
      <c r="G193" s="43"/>
      <c r="H193" s="161" t="s">
        <v>14</v>
      </c>
      <c r="I193" s="136"/>
      <c r="J193" s="136"/>
      <c r="K193" s="137"/>
      <c r="L193" s="590">
        <v>0</v>
      </c>
      <c r="M193" s="49">
        <v>0</v>
      </c>
      <c r="N193" s="49">
        <v>0</v>
      </c>
      <c r="O193" s="49">
        <f t="shared" si="135"/>
        <v>0</v>
      </c>
      <c r="P193" s="49">
        <f t="shared" si="136"/>
        <v>0</v>
      </c>
      <c r="Q193" s="49">
        <v>0</v>
      </c>
      <c r="R193" s="49">
        <v>0</v>
      </c>
      <c r="S193" s="49">
        <v>0</v>
      </c>
      <c r="T193" s="49">
        <f t="shared" si="138"/>
        <v>0</v>
      </c>
      <c r="U193" s="49">
        <f t="shared" si="139"/>
        <v>0</v>
      </c>
    </row>
    <row r="194" spans="1:21" ht="18.75" hidden="1" x14ac:dyDescent="0.25">
      <c r="A194" s="129"/>
      <c r="B194" s="200"/>
      <c r="C194" s="200"/>
      <c r="D194" s="200"/>
      <c r="E194" s="271" t="s">
        <v>21</v>
      </c>
      <c r="F194" s="200"/>
      <c r="G194" s="43"/>
      <c r="H194" s="138" t="s">
        <v>14</v>
      </c>
      <c r="I194" s="136"/>
      <c r="J194" s="136"/>
      <c r="K194" s="137"/>
      <c r="L194" s="588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t="shared" ca="1" si="135"/>
        <v>0</v>
      </c>
      <c r="P194" s="47">
        <f t="shared" ca="1" si="136"/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t="shared" ca="1" si="138"/>
        <v>0</v>
      </c>
      <c r="U194" s="47">
        <f t="shared" ca="1" si="139"/>
        <v>0</v>
      </c>
    </row>
    <row r="195" spans="1:21" ht="19.5" x14ac:dyDescent="0.3">
      <c r="A195" s="230"/>
      <c r="B195" s="231"/>
      <c r="C195" s="232" t="s">
        <v>78</v>
      </c>
      <c r="D195" s="233"/>
      <c r="E195" s="233"/>
      <c r="F195" s="233"/>
      <c r="G195" s="234"/>
      <c r="H195" s="235" t="s">
        <v>79</v>
      </c>
      <c r="I195" s="236">
        <f t="shared" ref="I195:J195" ca="1" si="146">I198</f>
        <v>4</v>
      </c>
      <c r="J195" s="236">
        <f t="shared" si="146"/>
        <v>4</v>
      </c>
      <c r="K195" s="237">
        <f ca="1">IF(I195&gt;0,J195*100/I195,0)</f>
        <v>100</v>
      </c>
      <c r="L195" s="634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9.5" x14ac:dyDescent="0.3">
      <c r="A196" s="129"/>
      <c r="B196" s="200"/>
      <c r="C196" s="409" t="s">
        <v>18</v>
      </c>
      <c r="D196" s="635" t="s">
        <v>19</v>
      </c>
      <c r="E196" s="200"/>
      <c r="F196" s="200"/>
      <c r="G196" s="43"/>
      <c r="H196" s="240" t="s">
        <v>14</v>
      </c>
      <c r="I196" s="45"/>
      <c r="J196" s="45"/>
      <c r="K196" s="46"/>
      <c r="L196" s="617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636">
        <v>8000</v>
      </c>
      <c r="O196" s="133">
        <f ca="1">IF(L196&gt;0,N196*100/L196,0)</f>
        <v>133.33333333333334</v>
      </c>
      <c r="P196" s="133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9"/>
      <c r="B197" s="140"/>
      <c r="C197" s="409" t="s">
        <v>18</v>
      </c>
      <c r="D197" s="618" t="s">
        <v>38</v>
      </c>
      <c r="E197" s="142"/>
      <c r="F197" s="142"/>
      <c r="G197" s="143"/>
      <c r="H197" s="144"/>
      <c r="I197" s="45"/>
      <c r="J197" s="45"/>
      <c r="K197" s="46"/>
      <c r="L197" s="591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9"/>
      <c r="B198" s="140"/>
      <c r="C198" s="140"/>
      <c r="D198" s="303" t="s">
        <v>80</v>
      </c>
      <c r="E198" s="170"/>
      <c r="F198" s="170"/>
      <c r="G198" s="144"/>
      <c r="H198" s="248" t="s">
        <v>79</v>
      </c>
      <c r="I198" s="372">
        <f ca="1">IFERROR(__xludf.DUMMYFUNCTION("IMPORTRANGE(""https://docs.google.com/spreadsheets/d/1eHaY18a8A9IcSdp1K8H6x8fbOy06t2VsZHhMHf-1x7Y/edit?usp=sharing"",""แผน!AE82"")"),4)</f>
        <v>4</v>
      </c>
      <c r="J198" s="169">
        <v>4</v>
      </c>
      <c r="K198" s="47">
        <f ca="1">IF(I198&gt;0,J198*100/I198,0)</f>
        <v>100</v>
      </c>
      <c r="L198" s="591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9"/>
      <c r="B199" s="140"/>
      <c r="C199" s="140"/>
      <c r="D199" s="303" t="s">
        <v>81</v>
      </c>
      <c r="E199" s="170"/>
      <c r="F199" s="170"/>
      <c r="G199" s="144"/>
      <c r="H199" s="227" t="s">
        <v>35</v>
      </c>
      <c r="I199" s="45"/>
      <c r="J199" s="372">
        <f>J200+J201</f>
        <v>124</v>
      </c>
      <c r="K199" s="46"/>
      <c r="L199" s="591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9"/>
      <c r="B200" s="140"/>
      <c r="C200" s="140"/>
      <c r="D200" s="140"/>
      <c r="E200" s="303" t="s">
        <v>82</v>
      </c>
      <c r="F200" s="170"/>
      <c r="G200" s="144"/>
      <c r="H200" s="227" t="s">
        <v>35</v>
      </c>
      <c r="I200" s="45"/>
      <c r="J200" s="169">
        <v>124</v>
      </c>
      <c r="K200" s="46"/>
      <c r="L200" s="591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9"/>
      <c r="B201" s="140"/>
      <c r="C201" s="140"/>
      <c r="D201" s="140"/>
      <c r="E201" s="303" t="s">
        <v>83</v>
      </c>
      <c r="F201" s="170"/>
      <c r="G201" s="144"/>
      <c r="H201" s="227" t="s">
        <v>35</v>
      </c>
      <c r="I201" s="45"/>
      <c r="J201" s="169">
        <v>0</v>
      </c>
      <c r="K201" s="46"/>
      <c r="L201" s="591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30"/>
      <c r="B202" s="231"/>
      <c r="C202" s="232" t="s">
        <v>84</v>
      </c>
      <c r="D202" s="233"/>
      <c r="E202" s="233"/>
      <c r="F202" s="233"/>
      <c r="G202" s="234"/>
      <c r="H202" s="340" t="s">
        <v>85</v>
      </c>
      <c r="I202" s="236">
        <f t="shared" ref="I202:J202" ca="1" si="147">I209</f>
        <v>2</v>
      </c>
      <c r="J202" s="236">
        <f t="shared" si="147"/>
        <v>2</v>
      </c>
      <c r="K202" s="237">
        <f ca="1">IF(I202&gt;0,J202*100/I202,0)</f>
        <v>100</v>
      </c>
      <c r="L202" s="634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9.5" x14ac:dyDescent="0.3">
      <c r="A203" s="129"/>
      <c r="B203" s="200"/>
      <c r="C203" s="409" t="s">
        <v>18</v>
      </c>
      <c r="D203" s="635" t="s">
        <v>19</v>
      </c>
      <c r="E203" s="200"/>
      <c r="F203" s="200"/>
      <c r="G203" s="43"/>
      <c r="H203" s="240" t="s">
        <v>14</v>
      </c>
      <c r="I203" s="136"/>
      <c r="J203" s="136"/>
      <c r="K203" s="137"/>
      <c r="L203" s="617">
        <f ca="1">L204+L205+L206+L207</f>
        <v>10000</v>
      </c>
      <c r="M203" s="46"/>
      <c r="N203" s="133">
        <f>N204+N205+N206+N207</f>
        <v>10000</v>
      </c>
      <c r="O203" s="133">
        <f ca="1">IF(L203&gt;0,N203*100/L203,0)</f>
        <v>100</v>
      </c>
      <c r="P203" s="133">
        <f>IF(M203&gt;0,N203*100/M203,0)</f>
        <v>0</v>
      </c>
      <c r="Q203" s="637">
        <f ca="1">Q204+Q205+Q206+Q207</f>
        <v>28000</v>
      </c>
      <c r="R203" s="180"/>
      <c r="S203" s="638">
        <f>S204+S205+S206+S207</f>
        <v>28000</v>
      </c>
      <c r="T203" s="638">
        <f ca="1">IF(Q203&gt;0,S203*100/Q203,0)</f>
        <v>100</v>
      </c>
      <c r="U203" s="638">
        <f>IF(R203&gt;0,S203*100/R203,0)</f>
        <v>0</v>
      </c>
    </row>
    <row r="204" spans="1:21" ht="18.75" x14ac:dyDescent="0.25">
      <c r="A204" s="129"/>
      <c r="B204" s="160"/>
      <c r="C204" s="200"/>
      <c r="D204" s="414" t="s">
        <v>305</v>
      </c>
      <c r="E204" s="200"/>
      <c r="F204" s="200"/>
      <c r="G204" s="43"/>
      <c r="H204" s="135" t="s">
        <v>14</v>
      </c>
      <c r="I204" s="136"/>
      <c r="J204" s="136"/>
      <c r="K204" s="137"/>
      <c r="L204" s="588">
        <f ca="1">IFERROR(__xludf.DUMMYFUNCTION("IMPORTRANGE(""https://docs.google.com/spreadsheets/d/1eHaY18a8A9IcSdp1K8H6x8fbOy06t2VsZHhMHf-1x7Y/edit?usp=sharing"",""แผน!AG82"")"),2000)</f>
        <v>2000</v>
      </c>
      <c r="M204" s="46"/>
      <c r="N204" s="639">
        <v>2000</v>
      </c>
      <c r="O204" s="137"/>
      <c r="P204" s="46"/>
      <c r="Q204" s="588">
        <v>0</v>
      </c>
      <c r="R204" s="46"/>
      <c r="S204" s="47">
        <v>0</v>
      </c>
      <c r="T204" s="137"/>
      <c r="U204" s="46"/>
    </row>
    <row r="205" spans="1:21" ht="18.75" x14ac:dyDescent="0.25">
      <c r="A205" s="225"/>
      <c r="B205" s="160"/>
      <c r="C205" s="200"/>
      <c r="D205" s="271" t="s">
        <v>306</v>
      </c>
      <c r="E205" s="200"/>
      <c r="F205" s="200"/>
      <c r="G205" s="43"/>
      <c r="H205" s="44" t="s">
        <v>14</v>
      </c>
      <c r="I205" s="45"/>
      <c r="J205" s="45"/>
      <c r="K205" s="46"/>
      <c r="L205" s="588">
        <f ca="1">IFERROR(__xludf.DUMMYFUNCTION("IMPORTRANGE(""https://docs.google.com/spreadsheets/d/1eHaY18a8A9IcSdp1K8H6x8fbOy06t2VsZHhMHf-1x7Y/edit?usp=sharing"",""แผน!AH82"")"),0)</f>
        <v>0</v>
      </c>
      <c r="M205" s="46"/>
      <c r="N205" s="639">
        <v>0</v>
      </c>
      <c r="O205" s="137"/>
      <c r="P205" s="46"/>
      <c r="Q205" s="588">
        <v>0</v>
      </c>
      <c r="R205" s="46"/>
      <c r="S205" s="47">
        <v>0</v>
      </c>
      <c r="T205" s="137"/>
      <c r="U205" s="46"/>
    </row>
    <row r="206" spans="1:21" ht="18.75" x14ac:dyDescent="0.25">
      <c r="A206" s="225"/>
      <c r="B206" s="160"/>
      <c r="C206" s="200"/>
      <c r="D206" s="271" t="s">
        <v>88</v>
      </c>
      <c r="E206" s="200"/>
      <c r="F206" s="200"/>
      <c r="G206" s="43"/>
      <c r="H206" s="44" t="s">
        <v>14</v>
      </c>
      <c r="I206" s="45"/>
      <c r="J206" s="45"/>
      <c r="K206" s="46"/>
      <c r="L206" s="588">
        <f ca="1">IFERROR(__xludf.DUMMYFUNCTION("IMPORTRANGE(""https://docs.google.com/spreadsheets/d/1eHaY18a8A9IcSdp1K8H6x8fbOy06t2VsZHhMHf-1x7Y/edit?usp=sharing"",""แผน!AI82"")"),0)</f>
        <v>0</v>
      </c>
      <c r="M206" s="46"/>
      <c r="N206" s="639">
        <v>0</v>
      </c>
      <c r="O206" s="137"/>
      <c r="P206" s="46"/>
      <c r="Q206" s="588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639">
        <v>28000</v>
      </c>
      <c r="T206" s="137"/>
      <c r="U206" s="46"/>
    </row>
    <row r="207" spans="1:21" ht="18.75" x14ac:dyDescent="0.25">
      <c r="A207" s="225"/>
      <c r="B207" s="160"/>
      <c r="C207" s="200"/>
      <c r="D207" s="271" t="s">
        <v>89</v>
      </c>
      <c r="E207" s="200"/>
      <c r="F207" s="200"/>
      <c r="G207" s="43"/>
      <c r="H207" s="44" t="s">
        <v>14</v>
      </c>
      <c r="I207" s="45"/>
      <c r="J207" s="45"/>
      <c r="K207" s="46"/>
      <c r="L207" s="588">
        <f ca="1">IFERROR(__xludf.DUMMYFUNCTION("IMPORTRANGE(""https://docs.google.com/spreadsheets/d/1eHaY18a8A9IcSdp1K8H6x8fbOy06t2VsZHhMHf-1x7Y/edit?usp=sharing"",""แผน!AJ82"")"),8000)</f>
        <v>8000</v>
      </c>
      <c r="M207" s="46"/>
      <c r="N207" s="639">
        <v>8000</v>
      </c>
      <c r="O207" s="137"/>
      <c r="P207" s="46"/>
      <c r="Q207" s="588">
        <v>0</v>
      </c>
      <c r="R207" s="46"/>
      <c r="S207" s="47">
        <v>0</v>
      </c>
      <c r="T207" s="137"/>
      <c r="U207" s="46"/>
    </row>
    <row r="208" spans="1:21" ht="19.5" x14ac:dyDescent="0.3">
      <c r="A208" s="139"/>
      <c r="B208" s="140"/>
      <c r="C208" s="409" t="s">
        <v>18</v>
      </c>
      <c r="D208" s="618" t="s">
        <v>38</v>
      </c>
      <c r="E208" s="142"/>
      <c r="F208" s="142"/>
      <c r="G208" s="143"/>
      <c r="H208" s="144"/>
      <c r="I208" s="136"/>
      <c r="J208" s="136"/>
      <c r="K208" s="137"/>
      <c r="L208" s="619"/>
      <c r="M208" s="137"/>
      <c r="N208" s="137"/>
      <c r="O208" s="137"/>
      <c r="P208" s="137"/>
      <c r="Q208" s="619"/>
      <c r="R208" s="137"/>
      <c r="S208" s="137"/>
      <c r="T208" s="137"/>
      <c r="U208" s="137"/>
    </row>
    <row r="209" spans="1:21" ht="18.75" x14ac:dyDescent="0.25">
      <c r="A209" s="139"/>
      <c r="B209" s="140"/>
      <c r="C209" s="140"/>
      <c r="D209" s="145" t="s">
        <v>90</v>
      </c>
      <c r="E209" s="170"/>
      <c r="F209" s="170"/>
      <c r="G209" s="144"/>
      <c r="H209" s="245" t="s">
        <v>85</v>
      </c>
      <c r="I209" s="372">
        <f ca="1">IFERROR(__xludf.DUMMYFUNCTION("IMPORTRANGE(""https://docs.google.com/spreadsheets/d/1eHaY18a8A9IcSdp1K8H6x8fbOy06t2VsZHhMHf-1x7Y/edit?usp=sharing"",""แผน!AK82"")"),2)</f>
        <v>2</v>
      </c>
      <c r="J209" s="169">
        <v>2</v>
      </c>
      <c r="K209" s="154">
        <f ca="1">IF(I209&gt;0,J209*100/I209,0)</f>
        <v>100</v>
      </c>
      <c r="L209" s="591"/>
      <c r="M209" s="46"/>
      <c r="N209" s="46"/>
      <c r="O209" s="46"/>
      <c r="P209" s="46"/>
      <c r="Q209" s="591"/>
      <c r="R209" s="46"/>
      <c r="S209" s="46"/>
      <c r="T209" s="46"/>
      <c r="U209" s="46"/>
    </row>
    <row r="210" spans="1:21" ht="18.75" x14ac:dyDescent="0.25">
      <c r="A210" s="139"/>
      <c r="B210" s="140"/>
      <c r="C210" s="140"/>
      <c r="D210" s="303" t="s">
        <v>50</v>
      </c>
      <c r="E210" s="170"/>
      <c r="F210" s="170"/>
      <c r="G210" s="144"/>
      <c r="H210" s="144"/>
      <c r="I210" s="45"/>
      <c r="J210" s="45"/>
      <c r="K210" s="137"/>
      <c r="L210" s="591"/>
      <c r="M210" s="46"/>
      <c r="N210" s="46"/>
      <c r="O210" s="46"/>
      <c r="P210" s="46"/>
      <c r="Q210" s="591"/>
      <c r="R210" s="46"/>
      <c r="S210" s="46"/>
      <c r="T210" s="46"/>
      <c r="U210" s="46"/>
    </row>
    <row r="211" spans="1:21" ht="18.75" x14ac:dyDescent="0.25">
      <c r="A211" s="139"/>
      <c r="B211" s="140"/>
      <c r="C211" s="140"/>
      <c r="D211" s="170"/>
      <c r="E211" s="303" t="s">
        <v>91</v>
      </c>
      <c r="F211" s="170"/>
      <c r="G211" s="144"/>
      <c r="H211" s="245" t="s">
        <v>85</v>
      </c>
      <c r="I211" s="372">
        <f ca="1">IFERROR(__xludf.DUMMYFUNCTION("IMPORTRANGE(""https://docs.google.com/spreadsheets/d/1eHaY18a8A9IcSdp1K8H6x8fbOy06t2VsZHhMHf-1x7Y/edit?usp=sharing"",""แผน!JX82"")"),2)</f>
        <v>2</v>
      </c>
      <c r="J211" s="169">
        <v>2</v>
      </c>
      <c r="K211" s="154">
        <f t="shared" ref="K211:K213" ca="1" si="148">IF(I211&gt;0,J211*100/I211,0)</f>
        <v>100</v>
      </c>
      <c r="L211" s="591"/>
      <c r="M211" s="46"/>
      <c r="N211" s="46"/>
      <c r="O211" s="46"/>
      <c r="P211" s="46"/>
      <c r="Q211" s="591"/>
      <c r="R211" s="46"/>
      <c r="S211" s="46"/>
      <c r="T211" s="46"/>
      <c r="U211" s="46"/>
    </row>
    <row r="212" spans="1:21" ht="18.75" x14ac:dyDescent="0.25">
      <c r="A212" s="139"/>
      <c r="B212" s="140"/>
      <c r="C212" s="140"/>
      <c r="D212" s="170"/>
      <c r="E212" s="303" t="s">
        <v>92</v>
      </c>
      <c r="F212" s="170"/>
      <c r="G212" s="170"/>
      <c r="H212" s="248" t="s">
        <v>93</v>
      </c>
      <c r="I212" s="372">
        <f ca="1">IFERROR(__xludf.DUMMYFUNCTION("IMPORTRANGE(""https://docs.google.com/spreadsheets/d/1eHaY18a8A9IcSdp1K8H6x8fbOy06t2VsZHhMHf-1x7Y/edit?usp=sharing"",""แผน!JY82"")"),0)</f>
        <v>0</v>
      </c>
      <c r="J212" s="169">
        <v>0</v>
      </c>
      <c r="K212" s="154">
        <f t="shared" ca="1" si="148"/>
        <v>0</v>
      </c>
      <c r="L212" s="591"/>
      <c r="M212" s="46"/>
      <c r="N212" s="46"/>
      <c r="O212" s="46"/>
      <c r="P212" s="46"/>
      <c r="Q212" s="591"/>
      <c r="R212" s="46"/>
      <c r="S212" s="46"/>
      <c r="T212" s="46"/>
      <c r="U212" s="46"/>
    </row>
    <row r="213" spans="1:21" ht="19.5" hidden="1" x14ac:dyDescent="0.3">
      <c r="A213" s="230"/>
      <c r="B213" s="231"/>
      <c r="C213" s="232" t="s">
        <v>94</v>
      </c>
      <c r="D213" s="233"/>
      <c r="E213" s="233"/>
      <c r="F213" s="233"/>
      <c r="G213" s="234"/>
      <c r="H213" s="340" t="s">
        <v>85</v>
      </c>
      <c r="I213" s="236">
        <f t="shared" ref="I213:J213" ca="1" si="149">I220</f>
        <v>0</v>
      </c>
      <c r="J213" s="236">
        <f t="shared" si="149"/>
        <v>0</v>
      </c>
      <c r="K213" s="237">
        <f t="shared" ca="1" si="148"/>
        <v>0</v>
      </c>
      <c r="L213" s="634"/>
      <c r="M213" s="238"/>
      <c r="N213" s="238"/>
      <c r="O213" s="238"/>
      <c r="P213" s="238"/>
      <c r="Q213" s="634"/>
      <c r="R213" s="238"/>
      <c r="S213" s="238"/>
      <c r="T213" s="238"/>
      <c r="U213" s="238"/>
    </row>
    <row r="214" spans="1:21" ht="19.5" hidden="1" x14ac:dyDescent="0.3">
      <c r="A214" s="129"/>
      <c r="B214" s="200"/>
      <c r="C214" s="199" t="s">
        <v>18</v>
      </c>
      <c r="D214" s="635" t="s">
        <v>19</v>
      </c>
      <c r="E214" s="200"/>
      <c r="F214" s="200"/>
      <c r="G214" s="43"/>
      <c r="H214" s="240" t="s">
        <v>14</v>
      </c>
      <c r="I214" s="136"/>
      <c r="J214" s="136"/>
      <c r="K214" s="137"/>
      <c r="L214" s="617">
        <f ca="1">L215+L216+L217</f>
        <v>0</v>
      </c>
      <c r="M214" s="46"/>
      <c r="N214" s="133">
        <f>N215+N216+N217</f>
        <v>0</v>
      </c>
      <c r="O214" s="133">
        <f ca="1">IF(L214&gt;0,N214*100/L214,0)</f>
        <v>0</v>
      </c>
      <c r="P214" s="133">
        <f>IF(M214&gt;0,N214*100/M214,0)</f>
        <v>0</v>
      </c>
      <c r="Q214" s="617">
        <f ca="1">Q215+Q216+Q217</f>
        <v>0</v>
      </c>
      <c r="R214" s="46"/>
      <c r="S214" s="133">
        <f>S215+S216+S217</f>
        <v>0</v>
      </c>
      <c r="T214" s="133">
        <f ca="1">IF(Q214&gt;0,S214*100/Q214,0)</f>
        <v>0</v>
      </c>
      <c r="U214" s="133">
        <f>IF(R214&gt;0,S214*100/R214,0)</f>
        <v>0</v>
      </c>
    </row>
    <row r="215" spans="1:21" ht="18.75" hidden="1" x14ac:dyDescent="0.25">
      <c r="A215" s="129"/>
      <c r="B215" s="160"/>
      <c r="C215" s="200"/>
      <c r="D215" s="271" t="s">
        <v>86</v>
      </c>
      <c r="E215" s="200"/>
      <c r="F215" s="200"/>
      <c r="G215" s="43"/>
      <c r="H215" s="135" t="s">
        <v>14</v>
      </c>
      <c r="I215" s="136"/>
      <c r="J215" s="136"/>
      <c r="K215" s="137"/>
      <c r="L215" s="588">
        <f ca="1">IFERROR(__xludf.DUMMYFUNCTION("IMPORTRANGE(""https://docs.google.com/spreadsheets/d/1eHaY18a8A9IcSdp1K8H6x8fbOy06t2VsZHhMHf-1x7Y/edit?usp=sharing"",""แผน!AM82"")"),0)</f>
        <v>0</v>
      </c>
      <c r="M215" s="46"/>
      <c r="N215" s="639">
        <v>0</v>
      </c>
      <c r="O215" s="137"/>
      <c r="P215" s="46"/>
      <c r="Q215" s="588">
        <v>0</v>
      </c>
      <c r="R215" s="46"/>
      <c r="S215" s="47">
        <v>0</v>
      </c>
      <c r="T215" s="137"/>
      <c r="U215" s="46"/>
    </row>
    <row r="216" spans="1:21" ht="18.75" hidden="1" x14ac:dyDescent="0.25">
      <c r="A216" s="225"/>
      <c r="B216" s="160"/>
      <c r="C216" s="160"/>
      <c r="D216" s="271" t="s">
        <v>95</v>
      </c>
      <c r="E216" s="200"/>
      <c r="F216" s="200"/>
      <c r="G216" s="43"/>
      <c r="H216" s="135" t="s">
        <v>14</v>
      </c>
      <c r="I216" s="45"/>
      <c r="J216" s="45"/>
      <c r="K216" s="46"/>
      <c r="L216" s="588">
        <f ca="1">IFERROR(__xludf.DUMMYFUNCTION("IMPORTRANGE(""https://docs.google.com/spreadsheets/d/1eHaY18a8A9IcSdp1K8H6x8fbOy06t2VsZHhMHf-1x7Y/edit?usp=sharing"",""แผน!AN82"")"),0)</f>
        <v>0</v>
      </c>
      <c r="M216" s="46"/>
      <c r="N216" s="639">
        <v>0</v>
      </c>
      <c r="O216" s="137"/>
      <c r="P216" s="46"/>
      <c r="Q216" s="588">
        <v>0</v>
      </c>
      <c r="R216" s="46"/>
      <c r="S216" s="47">
        <v>0</v>
      </c>
      <c r="T216" s="137"/>
      <c r="U216" s="46"/>
    </row>
    <row r="217" spans="1:21" ht="18.75" hidden="1" x14ac:dyDescent="0.25">
      <c r="A217" s="225"/>
      <c r="B217" s="160"/>
      <c r="C217" s="160"/>
      <c r="D217" s="271" t="s">
        <v>88</v>
      </c>
      <c r="E217" s="200"/>
      <c r="F217" s="200"/>
      <c r="G217" s="43"/>
      <c r="H217" s="135" t="s">
        <v>14</v>
      </c>
      <c r="I217" s="45"/>
      <c r="J217" s="45"/>
      <c r="K217" s="46"/>
      <c r="L217" s="588">
        <f ca="1">IFERROR(__xludf.DUMMYFUNCTION("IMPORTRANGE(""https://docs.google.com/spreadsheets/d/1eHaY18a8A9IcSdp1K8H6x8fbOy06t2VsZHhMHf-1x7Y/edit?usp=sharing"",""แผน!AO82"")"),0)</f>
        <v>0</v>
      </c>
      <c r="M217" s="46"/>
      <c r="N217" s="639">
        <v>0</v>
      </c>
      <c r="O217" s="137"/>
      <c r="P217" s="46"/>
      <c r="Q217" s="588">
        <f ca="1">IFERROR(__xludf.DUMMYFUNCTION("IMPORTRANGE(""https://docs.google.com/spreadsheets/d/1eHaY18a8A9IcSdp1K8H6x8fbOy06t2VsZHhMHf-1x7Y/edit?usp=sharing"",""แผน!LY82"")"),0)</f>
        <v>0</v>
      </c>
      <c r="R217" s="46"/>
      <c r="S217" s="639">
        <v>0</v>
      </c>
      <c r="T217" s="137"/>
      <c r="U217" s="46"/>
    </row>
    <row r="218" spans="1:21" ht="19.5" hidden="1" x14ac:dyDescent="0.3">
      <c r="A218" s="139"/>
      <c r="B218" s="140"/>
      <c r="C218" s="367" t="s">
        <v>18</v>
      </c>
      <c r="D218" s="618" t="s">
        <v>38</v>
      </c>
      <c r="E218" s="142"/>
      <c r="F218" s="142"/>
      <c r="G218" s="143"/>
      <c r="H218" s="144"/>
      <c r="I218" s="136"/>
      <c r="J218" s="45"/>
      <c r="K218" s="46"/>
      <c r="L218" s="591"/>
      <c r="M218" s="46"/>
      <c r="N218" s="46"/>
      <c r="O218" s="137"/>
      <c r="P218" s="137"/>
      <c r="Q218" s="591"/>
      <c r="R218" s="46"/>
      <c r="S218" s="46"/>
      <c r="T218" s="137"/>
      <c r="U218" s="137"/>
    </row>
    <row r="219" spans="1:21" ht="18.75" hidden="1" x14ac:dyDescent="0.25">
      <c r="A219" s="139"/>
      <c r="B219" s="140"/>
      <c r="C219" s="140"/>
      <c r="D219" s="145" t="s">
        <v>96</v>
      </c>
      <c r="E219" s="170"/>
      <c r="F219" s="170"/>
      <c r="G219" s="144"/>
      <c r="H219" s="245" t="s">
        <v>85</v>
      </c>
      <c r="I219" s="372">
        <f ca="1">IFERROR(__xludf.DUMMYFUNCTION("IMPORTRANGE(""https://docs.google.com/spreadsheets/d/1eHaY18a8A9IcSdp1K8H6x8fbOy06t2VsZHhMHf-1x7Y/edit?usp=sharing"",""แผน!AP82"")"),0)</f>
        <v>0</v>
      </c>
      <c r="J219" s="169">
        <v>0</v>
      </c>
      <c r="K219" s="47">
        <f t="shared" ref="K219:K221" ca="1" si="150">IF(I219&gt;0,J219*100/I219,0)</f>
        <v>0</v>
      </c>
      <c r="L219" s="591"/>
      <c r="M219" s="46"/>
      <c r="N219" s="46"/>
      <c r="O219" s="46"/>
      <c r="P219" s="46"/>
      <c r="Q219" s="591"/>
      <c r="R219" s="46"/>
      <c r="S219" s="46"/>
      <c r="T219" s="46"/>
      <c r="U219" s="46"/>
    </row>
    <row r="220" spans="1:21" ht="18.75" hidden="1" x14ac:dyDescent="0.25">
      <c r="A220" s="139"/>
      <c r="B220" s="140"/>
      <c r="C220" s="140"/>
      <c r="D220" s="145" t="s">
        <v>97</v>
      </c>
      <c r="E220" s="170"/>
      <c r="F220" s="170"/>
      <c r="G220" s="144"/>
      <c r="H220" s="245" t="s">
        <v>85</v>
      </c>
      <c r="I220" s="372">
        <f ca="1">IFERROR(__xludf.DUMMYFUNCTION("IMPORTRANGE(""https://docs.google.com/spreadsheets/d/1eHaY18a8A9IcSdp1K8H6x8fbOy06t2VsZHhMHf-1x7Y/edit?usp=sharing"",""แผน!AP82"")"),0)</f>
        <v>0</v>
      </c>
      <c r="J220" s="169">
        <v>0</v>
      </c>
      <c r="K220" s="47">
        <f t="shared" ca="1" si="150"/>
        <v>0</v>
      </c>
      <c r="L220" s="591"/>
      <c r="M220" s="46"/>
      <c r="N220" s="46"/>
      <c r="O220" s="46"/>
      <c r="P220" s="46"/>
      <c r="Q220" s="591"/>
      <c r="R220" s="46"/>
      <c r="S220" s="46"/>
      <c r="T220" s="46"/>
      <c r="U220" s="46"/>
    </row>
    <row r="221" spans="1:21" ht="19.5" x14ac:dyDescent="0.3">
      <c r="A221" s="230"/>
      <c r="B221" s="231"/>
      <c r="C221" s="232" t="s">
        <v>98</v>
      </c>
      <c r="D221" s="233"/>
      <c r="E221" s="233"/>
      <c r="F221" s="233"/>
      <c r="G221" s="234"/>
      <c r="H221" s="235" t="s">
        <v>99</v>
      </c>
      <c r="I221" s="236">
        <f t="shared" ref="I221:J221" ca="1" si="151">I229</f>
        <v>10000</v>
      </c>
      <c r="J221" s="236">
        <f t="shared" si="151"/>
        <v>10000</v>
      </c>
      <c r="K221" s="237">
        <f t="shared" ca="1" si="150"/>
        <v>100</v>
      </c>
      <c r="L221" s="634"/>
      <c r="M221" s="238"/>
      <c r="N221" s="238"/>
      <c r="O221" s="238"/>
      <c r="P221" s="238"/>
      <c r="Q221" s="238"/>
      <c r="R221" s="238"/>
      <c r="S221" s="238"/>
      <c r="T221" s="238"/>
      <c r="U221" s="238"/>
    </row>
    <row r="222" spans="1:21" ht="19.5" x14ac:dyDescent="0.3">
      <c r="A222" s="129"/>
      <c r="B222" s="200"/>
      <c r="C222" s="409" t="s">
        <v>18</v>
      </c>
      <c r="D222" s="635" t="s">
        <v>19</v>
      </c>
      <c r="E222" s="200"/>
      <c r="F222" s="200"/>
      <c r="G222" s="43"/>
      <c r="H222" s="240" t="s">
        <v>14</v>
      </c>
      <c r="I222" s="136"/>
      <c r="J222" s="136"/>
      <c r="K222" s="137"/>
      <c r="L222" s="617">
        <f ca="1">L223+L224+L225</f>
        <v>4500</v>
      </c>
      <c r="M222" s="46"/>
      <c r="N222" s="133">
        <f>N223+N224+N225</f>
        <v>4500</v>
      </c>
      <c r="O222" s="133">
        <f ca="1">IF(L222&gt;0,N222*100/L222,0)</f>
        <v>100</v>
      </c>
      <c r="P222" s="133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9"/>
      <c r="B223" s="160"/>
      <c r="C223" s="200"/>
      <c r="D223" s="414" t="s">
        <v>307</v>
      </c>
      <c r="E223" s="200"/>
      <c r="F223" s="200"/>
      <c r="G223" s="43"/>
      <c r="H223" s="135" t="s">
        <v>14</v>
      </c>
      <c r="I223" s="136"/>
      <c r="J223" s="136"/>
      <c r="K223" s="137"/>
      <c r="L223" s="588">
        <f ca="1">IFERROR(__xludf.DUMMYFUNCTION("IMPORTRANGE(""https://docs.google.com/spreadsheets/d/1eHaY18a8A9IcSdp1K8H6x8fbOy06t2VsZHhMHf-1x7Y/edit?usp=sharing"",""แผน!AR82"")"),2500)</f>
        <v>2500</v>
      </c>
      <c r="M223" s="46"/>
      <c r="N223" s="639">
        <v>2500</v>
      </c>
      <c r="O223" s="137"/>
      <c r="P223" s="46"/>
      <c r="Q223" s="46"/>
      <c r="R223" s="46"/>
      <c r="S223" s="46"/>
      <c r="T223" s="137"/>
      <c r="U223" s="46"/>
    </row>
    <row r="224" spans="1:21" ht="18.75" x14ac:dyDescent="0.25">
      <c r="A224" s="225"/>
      <c r="B224" s="160"/>
      <c r="C224" s="160"/>
      <c r="D224" s="271" t="s">
        <v>308</v>
      </c>
      <c r="E224" s="200"/>
      <c r="F224" s="200"/>
      <c r="G224" s="43"/>
      <c r="H224" s="135" t="s">
        <v>14</v>
      </c>
      <c r="I224" s="45"/>
      <c r="J224" s="45"/>
      <c r="K224" s="46"/>
      <c r="L224" s="588">
        <f ca="1">IFERROR(__xludf.DUMMYFUNCTION("IMPORTRANGE(""https://docs.google.com/spreadsheets/d/1eHaY18a8A9IcSdp1K8H6x8fbOy06t2VsZHhMHf-1x7Y/edit?usp=sharing"",""แผน!AS82"")"),2000)</f>
        <v>2000</v>
      </c>
      <c r="M224" s="46"/>
      <c r="N224" s="639">
        <v>2000</v>
      </c>
      <c r="O224" s="137"/>
      <c r="P224" s="46"/>
      <c r="Q224" s="46"/>
      <c r="R224" s="46"/>
      <c r="S224" s="46"/>
      <c r="T224" s="137"/>
      <c r="U224" s="46"/>
    </row>
    <row r="225" spans="1:21" ht="18.75" x14ac:dyDescent="0.25">
      <c r="A225" s="225"/>
      <c r="B225" s="160"/>
      <c r="C225" s="160"/>
      <c r="D225" s="271" t="s">
        <v>88</v>
      </c>
      <c r="E225" s="200"/>
      <c r="F225" s="200"/>
      <c r="G225" s="43"/>
      <c r="H225" s="135" t="s">
        <v>14</v>
      </c>
      <c r="I225" s="45"/>
      <c r="J225" s="45"/>
      <c r="K225" s="46"/>
      <c r="L225" s="588">
        <f ca="1">IFERROR(__xludf.DUMMYFUNCTION("IMPORTRANGE(""https://docs.google.com/spreadsheets/d/1eHaY18a8A9IcSdp1K8H6x8fbOy06t2VsZHhMHf-1x7Y/edit?usp=sharing"",""แผน!AT82"")"),0)</f>
        <v>0</v>
      </c>
      <c r="M225" s="46"/>
      <c r="N225" s="639">
        <v>0</v>
      </c>
      <c r="O225" s="137"/>
      <c r="P225" s="46"/>
      <c r="Q225" s="46"/>
      <c r="R225" s="46"/>
      <c r="S225" s="46"/>
      <c r="T225" s="137"/>
      <c r="U225" s="46"/>
    </row>
    <row r="226" spans="1:21" ht="19.5" x14ac:dyDescent="0.3">
      <c r="A226" s="139"/>
      <c r="B226" s="140"/>
      <c r="C226" s="409" t="s">
        <v>18</v>
      </c>
      <c r="D226" s="618" t="s">
        <v>38</v>
      </c>
      <c r="E226" s="142"/>
      <c r="F226" s="142"/>
      <c r="G226" s="143"/>
      <c r="H226" s="144"/>
      <c r="I226" s="136"/>
      <c r="J226" s="136"/>
      <c r="K226" s="137"/>
      <c r="L226" s="619"/>
      <c r="M226" s="137"/>
      <c r="N226" s="137"/>
      <c r="O226" s="137"/>
      <c r="P226" s="137"/>
      <c r="Q226" s="137"/>
      <c r="R226" s="137"/>
      <c r="S226" s="137"/>
      <c r="T226" s="137"/>
      <c r="U226" s="137"/>
    </row>
    <row r="227" spans="1:21" ht="18.75" x14ac:dyDescent="0.25">
      <c r="A227" s="139"/>
      <c r="B227" s="140"/>
      <c r="C227" s="140"/>
      <c r="D227" s="271" t="s">
        <v>101</v>
      </c>
      <c r="E227" s="170"/>
      <c r="F227" s="170"/>
      <c r="G227" s="144"/>
      <c r="H227" s="144"/>
      <c r="I227" s="45"/>
      <c r="J227" s="45"/>
      <c r="K227" s="137"/>
      <c r="L227" s="619"/>
      <c r="M227" s="137"/>
      <c r="N227" s="137"/>
      <c r="O227" s="137"/>
      <c r="P227" s="137"/>
      <c r="Q227" s="137"/>
      <c r="R227" s="137"/>
      <c r="S227" s="137"/>
      <c r="T227" s="137"/>
      <c r="U227" s="137"/>
    </row>
    <row r="228" spans="1:21" ht="18.75" x14ac:dyDescent="0.25">
      <c r="A228" s="139"/>
      <c r="B228" s="140"/>
      <c r="C228" s="140"/>
      <c r="D228" s="140"/>
      <c r="E228" s="145" t="s">
        <v>102</v>
      </c>
      <c r="F228" s="170"/>
      <c r="G228" s="144"/>
      <c r="H228" s="248" t="s">
        <v>99</v>
      </c>
      <c r="I228" s="372">
        <f ca="1">IFERROR(__xludf.DUMMYFUNCTION("IMPORTRANGE(""https://docs.google.com/spreadsheets/d/1eHaY18a8A9IcSdp1K8H6x8fbOy06t2VsZHhMHf-1x7Y/edit?usp=sharing"",""แผน!AV82"")"),10000)</f>
        <v>10000</v>
      </c>
      <c r="J228" s="169">
        <v>10000</v>
      </c>
      <c r="K228" s="154">
        <f t="shared" ref="K228:K231" ca="1" si="152">IF(I228&gt;0,J228*100/I228,0)</f>
        <v>100</v>
      </c>
      <c r="L228" s="619"/>
      <c r="M228" s="137"/>
      <c r="N228" s="137"/>
      <c r="O228" s="137"/>
      <c r="P228" s="137"/>
      <c r="Q228" s="137"/>
      <c r="R228" s="137"/>
      <c r="S228" s="137"/>
      <c r="T228" s="137"/>
      <c r="U228" s="137"/>
    </row>
    <row r="229" spans="1:21" ht="18.75" x14ac:dyDescent="0.25">
      <c r="A229" s="139"/>
      <c r="B229" s="140"/>
      <c r="C229" s="140"/>
      <c r="D229" s="140"/>
      <c r="E229" s="145" t="s">
        <v>103</v>
      </c>
      <c r="F229" s="170"/>
      <c r="G229" s="144"/>
      <c r="H229" s="248" t="s">
        <v>99</v>
      </c>
      <c r="I229" s="372">
        <f ca="1">IFERROR(__xludf.DUMMYFUNCTION("IMPORTRANGE(""https://docs.google.com/spreadsheets/d/1eHaY18a8A9IcSdp1K8H6x8fbOy06t2VsZHhMHf-1x7Y/edit?usp=sharing"",""แผน!AV82"")"),10000)</f>
        <v>10000</v>
      </c>
      <c r="J229" s="169">
        <v>10000</v>
      </c>
      <c r="K229" s="154">
        <f t="shared" ca="1" si="152"/>
        <v>100</v>
      </c>
      <c r="L229" s="591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9"/>
      <c r="B230" s="140"/>
      <c r="C230" s="140"/>
      <c r="D230" s="271" t="s">
        <v>104</v>
      </c>
      <c r="E230" s="170"/>
      <c r="F230" s="170"/>
      <c r="G230" s="144"/>
      <c r="H230" s="248" t="s">
        <v>35</v>
      </c>
      <c r="I230" s="372">
        <f ca="1">IFERROR(__xludf.DUMMYFUNCTION("IMPORTRANGE(""https://docs.google.com/spreadsheets/d/1eHaY18a8A9IcSdp1K8H6x8fbOy06t2VsZHhMHf-1x7Y/edit?usp=sharing"",""แผน!AU82"")"),0)</f>
        <v>0</v>
      </c>
      <c r="J230" s="169">
        <v>11</v>
      </c>
      <c r="K230" s="154">
        <f t="shared" ca="1" si="152"/>
        <v>0</v>
      </c>
      <c r="L230" s="591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640"/>
      <c r="B231" s="641"/>
      <c r="C231" s="642" t="s">
        <v>105</v>
      </c>
      <c r="D231" s="643"/>
      <c r="E231" s="643"/>
      <c r="F231" s="643"/>
      <c r="G231" s="644"/>
      <c r="H231" s="645" t="s">
        <v>35</v>
      </c>
      <c r="I231" s="646">
        <f t="shared" ref="I231:J231" ca="1" si="153">I242+I253</f>
        <v>0</v>
      </c>
      <c r="J231" s="646">
        <f t="shared" si="153"/>
        <v>0</v>
      </c>
      <c r="K231" s="647">
        <f t="shared" ca="1" si="152"/>
        <v>0</v>
      </c>
      <c r="L231" s="634"/>
      <c r="M231" s="238"/>
      <c r="N231" s="238"/>
      <c r="O231" s="238"/>
      <c r="P231" s="238"/>
      <c r="Q231" s="238"/>
      <c r="R231" s="238"/>
      <c r="S231" s="238"/>
      <c r="T231" s="238"/>
      <c r="U231" s="238"/>
    </row>
    <row r="232" spans="1:21" ht="19.5" hidden="1" x14ac:dyDescent="0.3">
      <c r="A232" s="648"/>
      <c r="B232" s="649"/>
      <c r="C232" s="650" t="s">
        <v>18</v>
      </c>
      <c r="D232" s="651" t="s">
        <v>19</v>
      </c>
      <c r="E232" s="649"/>
      <c r="F232" s="649"/>
      <c r="G232" s="652"/>
      <c r="H232" s="512" t="s">
        <v>14</v>
      </c>
      <c r="I232" s="653"/>
      <c r="J232" s="653"/>
      <c r="K232" s="654"/>
      <c r="L232" s="655">
        <f t="shared" ref="L232:L236" ca="1" si="154">L243+L254</f>
        <v>0</v>
      </c>
      <c r="M232" s="46"/>
      <c r="N232" s="656">
        <f t="shared" ref="N232:N236" si="155">N243+N254</f>
        <v>0</v>
      </c>
      <c r="O232" s="46"/>
      <c r="P232" s="46"/>
      <c r="Q232" s="657">
        <v>0</v>
      </c>
      <c r="R232" s="657">
        <v>0</v>
      </c>
      <c r="S232" s="657">
        <v>0</v>
      </c>
      <c r="T232" s="46"/>
      <c r="U232" s="46"/>
    </row>
    <row r="233" spans="1:21" ht="18.75" hidden="1" x14ac:dyDescent="0.25">
      <c r="A233" s="648"/>
      <c r="B233" s="658"/>
      <c r="C233" s="649"/>
      <c r="D233" s="158" t="s">
        <v>86</v>
      </c>
      <c r="E233" s="649"/>
      <c r="F233" s="649"/>
      <c r="G233" s="652"/>
      <c r="H233" s="161" t="s">
        <v>14</v>
      </c>
      <c r="I233" s="653"/>
      <c r="J233" s="653"/>
      <c r="K233" s="654"/>
      <c r="L233" s="590">
        <f t="shared" ca="1" si="154"/>
        <v>0</v>
      </c>
      <c r="M233" s="46"/>
      <c r="N233" s="49">
        <f t="shared" si="155"/>
        <v>0</v>
      </c>
      <c r="O233" s="46"/>
      <c r="P233" s="46"/>
      <c r="Q233" s="659">
        <v>0</v>
      </c>
      <c r="R233" s="179">
        <v>0</v>
      </c>
      <c r="S233" s="179">
        <v>0</v>
      </c>
      <c r="T233" s="46"/>
      <c r="U233" s="46"/>
    </row>
    <row r="234" spans="1:21" ht="18.75" hidden="1" x14ac:dyDescent="0.25">
      <c r="A234" s="660"/>
      <c r="B234" s="658"/>
      <c r="C234" s="658"/>
      <c r="D234" s="158" t="s">
        <v>88</v>
      </c>
      <c r="E234" s="649"/>
      <c r="F234" s="649"/>
      <c r="G234" s="652"/>
      <c r="H234" s="161" t="s">
        <v>14</v>
      </c>
      <c r="I234" s="661"/>
      <c r="J234" s="661"/>
      <c r="K234" s="662"/>
      <c r="L234" s="590">
        <f t="shared" ca="1" si="154"/>
        <v>0</v>
      </c>
      <c r="M234" s="46"/>
      <c r="N234" s="49">
        <f t="shared" si="155"/>
        <v>0</v>
      </c>
      <c r="O234" s="46"/>
      <c r="P234" s="46"/>
      <c r="Q234" s="58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660"/>
      <c r="B235" s="658"/>
      <c r="C235" s="658"/>
      <c r="D235" s="158" t="s">
        <v>106</v>
      </c>
      <c r="E235" s="649"/>
      <c r="F235" s="649"/>
      <c r="G235" s="652"/>
      <c r="H235" s="161" t="s">
        <v>14</v>
      </c>
      <c r="I235" s="661"/>
      <c r="J235" s="661"/>
      <c r="K235" s="662"/>
      <c r="L235" s="590">
        <f t="shared" ca="1" si="154"/>
        <v>0</v>
      </c>
      <c r="M235" s="46"/>
      <c r="N235" s="49">
        <f t="shared" si="155"/>
        <v>0</v>
      </c>
      <c r="O235" s="46"/>
      <c r="P235" s="46"/>
      <c r="Q235" s="58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660"/>
      <c r="B236" s="658"/>
      <c r="C236" s="658"/>
      <c r="D236" s="158" t="s">
        <v>107</v>
      </c>
      <c r="E236" s="649"/>
      <c r="F236" s="649"/>
      <c r="G236" s="652"/>
      <c r="H236" s="161" t="s">
        <v>14</v>
      </c>
      <c r="I236" s="661"/>
      <c r="J236" s="661"/>
      <c r="K236" s="662"/>
      <c r="L236" s="590">
        <f t="shared" ca="1" si="154"/>
        <v>0</v>
      </c>
      <c r="M236" s="46"/>
      <c r="N236" s="49">
        <f t="shared" si="155"/>
        <v>0</v>
      </c>
      <c r="O236" s="46"/>
      <c r="P236" s="46"/>
      <c r="Q236" s="58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663"/>
      <c r="B237" s="664"/>
      <c r="C237" s="665" t="s">
        <v>18</v>
      </c>
      <c r="D237" s="666" t="s">
        <v>38</v>
      </c>
      <c r="E237" s="667"/>
      <c r="F237" s="667"/>
      <c r="G237" s="668"/>
      <c r="H237" s="669"/>
      <c r="I237" s="653"/>
      <c r="J237" s="661"/>
      <c r="K237" s="662"/>
      <c r="L237" s="591"/>
      <c r="M237" s="46"/>
      <c r="N237" s="46"/>
      <c r="O237" s="137"/>
      <c r="P237" s="137"/>
      <c r="Q237" s="46"/>
      <c r="R237" s="46"/>
      <c r="S237" s="46"/>
      <c r="T237" s="137"/>
      <c r="U237" s="137"/>
    </row>
    <row r="238" spans="1:21" ht="18.75" hidden="1" x14ac:dyDescent="0.25">
      <c r="A238" s="663"/>
      <c r="B238" s="664"/>
      <c r="C238" s="664"/>
      <c r="D238" s="193" t="s">
        <v>108</v>
      </c>
      <c r="E238" s="670"/>
      <c r="F238" s="670"/>
      <c r="G238" s="669"/>
      <c r="H238" s="671" t="s">
        <v>35</v>
      </c>
      <c r="I238" s="517">
        <f t="shared" ref="I238:J238" ca="1" si="156">I249+I260</f>
        <v>0</v>
      </c>
      <c r="J238" s="517">
        <f t="shared" si="156"/>
        <v>0</v>
      </c>
      <c r="K238" s="49">
        <f ca="1">IF(I238&gt;0,J238*100/I238,0)</f>
        <v>0</v>
      </c>
      <c r="L238" s="591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663"/>
      <c r="B239" s="664"/>
      <c r="C239" s="664"/>
      <c r="D239" s="672" t="s">
        <v>43</v>
      </c>
      <c r="E239" s="670"/>
      <c r="F239" s="670"/>
      <c r="G239" s="669"/>
      <c r="H239" s="669"/>
      <c r="I239" s="661"/>
      <c r="J239" s="661"/>
      <c r="K239" s="662"/>
      <c r="L239" s="591"/>
      <c r="M239" s="46"/>
      <c r="N239" s="46"/>
      <c r="O239" s="137"/>
      <c r="P239" s="137"/>
      <c r="Q239" s="46"/>
      <c r="R239" s="46"/>
      <c r="S239" s="46"/>
      <c r="T239" s="137"/>
      <c r="U239" s="137"/>
    </row>
    <row r="240" spans="1:21" ht="18.75" hidden="1" x14ac:dyDescent="0.25">
      <c r="A240" s="663"/>
      <c r="B240" s="664"/>
      <c r="C240" s="664"/>
      <c r="D240" s="664"/>
      <c r="E240" s="673" t="s">
        <v>109</v>
      </c>
      <c r="F240" s="670"/>
      <c r="G240" s="669"/>
      <c r="H240" s="671" t="s">
        <v>35</v>
      </c>
      <c r="I240" s="517">
        <f t="shared" ref="I240:J241" si="157">I251+I262</f>
        <v>0</v>
      </c>
      <c r="J240" s="517">
        <f t="shared" si="157"/>
        <v>0</v>
      </c>
      <c r="K240" s="49">
        <f t="shared" ref="K240:K242" si="158">IF(I240&gt;0,J240*100/I240,0)</f>
        <v>0</v>
      </c>
      <c r="L240" s="591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663"/>
      <c r="B241" s="664"/>
      <c r="C241" s="664"/>
      <c r="D241" s="664"/>
      <c r="E241" s="673" t="s">
        <v>110</v>
      </c>
      <c r="F241" s="670"/>
      <c r="G241" s="669"/>
      <c r="H241" s="671" t="s">
        <v>61</v>
      </c>
      <c r="I241" s="517">
        <f t="shared" si="157"/>
        <v>0</v>
      </c>
      <c r="J241" s="517">
        <f t="shared" si="157"/>
        <v>0</v>
      </c>
      <c r="K241" s="49">
        <f t="shared" si="158"/>
        <v>0</v>
      </c>
      <c r="L241" s="591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30"/>
      <c r="B242" s="231"/>
      <c r="C242" s="642" t="s">
        <v>111</v>
      </c>
      <c r="D242" s="233"/>
      <c r="E242" s="233"/>
      <c r="F242" s="233"/>
      <c r="G242" s="234"/>
      <c r="H242" s="645" t="s">
        <v>35</v>
      </c>
      <c r="I242" s="646">
        <f t="shared" ref="I242:J242" ca="1" si="159">I249</f>
        <v>0</v>
      </c>
      <c r="J242" s="646">
        <f t="shared" si="159"/>
        <v>0</v>
      </c>
      <c r="K242" s="647">
        <f t="shared" ca="1" si="158"/>
        <v>0</v>
      </c>
      <c r="L242" s="634"/>
      <c r="M242" s="238"/>
      <c r="N242" s="238"/>
      <c r="O242" s="238"/>
      <c r="P242" s="238"/>
      <c r="Q242" s="238"/>
      <c r="R242" s="238"/>
      <c r="S242" s="238"/>
      <c r="T242" s="238"/>
      <c r="U242" s="238"/>
    </row>
    <row r="243" spans="1:21" ht="19.5" hidden="1" x14ac:dyDescent="0.3">
      <c r="A243" s="129"/>
      <c r="B243" s="200"/>
      <c r="C243" s="650" t="s">
        <v>18</v>
      </c>
      <c r="D243" s="651" t="s">
        <v>19</v>
      </c>
      <c r="E243" s="200"/>
      <c r="F243" s="200"/>
      <c r="G243" s="43"/>
      <c r="H243" s="512" t="s">
        <v>14</v>
      </c>
      <c r="I243" s="136"/>
      <c r="J243" s="136"/>
      <c r="K243" s="137"/>
      <c r="L243" s="617">
        <f ca="1">L244+L245+L246+L247</f>
        <v>0</v>
      </c>
      <c r="M243" s="46"/>
      <c r="N243" s="133">
        <f>N244+N245+N246+N247</f>
        <v>0</v>
      </c>
      <c r="O243" s="133">
        <f ca="1">IF(L243&gt;0,N243*100/L243,0)</f>
        <v>0</v>
      </c>
      <c r="P243" s="133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9"/>
      <c r="B244" s="160"/>
      <c r="C244" s="200"/>
      <c r="D244" s="158" t="s">
        <v>86</v>
      </c>
      <c r="E244" s="200"/>
      <c r="F244" s="200"/>
      <c r="G244" s="43"/>
      <c r="H244" s="161" t="s">
        <v>14</v>
      </c>
      <c r="I244" s="136"/>
      <c r="J244" s="136"/>
      <c r="K244" s="137"/>
      <c r="L244" s="588">
        <f ca="1">IFERROR(__xludf.DUMMYFUNCTION("IMPORTRANGE(""https://docs.google.com/spreadsheets/d/1eHaY18a8A9IcSdp1K8H6x8fbOy06t2VsZHhMHf-1x7Y/edit?usp=sharing"",""แผน!AX82"")"),0)</f>
        <v>0</v>
      </c>
      <c r="M244" s="46"/>
      <c r="N244" s="639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25"/>
      <c r="B245" s="160"/>
      <c r="C245" s="160"/>
      <c r="D245" s="158" t="s">
        <v>88</v>
      </c>
      <c r="E245" s="200"/>
      <c r="F245" s="200"/>
      <c r="G245" s="43"/>
      <c r="H245" s="161" t="s">
        <v>14</v>
      </c>
      <c r="I245" s="45"/>
      <c r="J245" s="45"/>
      <c r="K245" s="46"/>
      <c r="L245" s="588">
        <f ca="1">IFERROR(__xludf.DUMMYFUNCTION("IMPORTRANGE(""https://docs.google.com/spreadsheets/d/1eHaY18a8A9IcSdp1K8H6x8fbOy06t2VsZHhMHf-1x7Y/edit?usp=sharing"",""แผน!AY82"")"),0)</f>
        <v>0</v>
      </c>
      <c r="M245" s="46"/>
      <c r="N245" s="639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25"/>
      <c r="B246" s="160"/>
      <c r="C246" s="160"/>
      <c r="D246" s="158" t="s">
        <v>106</v>
      </c>
      <c r="E246" s="200"/>
      <c r="F246" s="200"/>
      <c r="G246" s="43"/>
      <c r="H246" s="161" t="s">
        <v>14</v>
      </c>
      <c r="I246" s="45"/>
      <c r="J246" s="45"/>
      <c r="K246" s="46"/>
      <c r="L246" s="588">
        <f ca="1">IFERROR(__xludf.DUMMYFUNCTION("IMPORTRANGE(""https://docs.google.com/spreadsheets/d/1eHaY18a8A9IcSdp1K8H6x8fbOy06t2VsZHhMHf-1x7Y/edit?usp=sharing"",""แผน!AZ82"")"),0)</f>
        <v>0</v>
      </c>
      <c r="M246" s="46"/>
      <c r="N246" s="639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25"/>
      <c r="B247" s="160"/>
      <c r="C247" s="160"/>
      <c r="D247" s="158" t="s">
        <v>107</v>
      </c>
      <c r="E247" s="200"/>
      <c r="F247" s="200"/>
      <c r="G247" s="43"/>
      <c r="H247" s="161" t="s">
        <v>14</v>
      </c>
      <c r="I247" s="45"/>
      <c r="J247" s="45"/>
      <c r="K247" s="46"/>
      <c r="L247" s="588">
        <f ca="1">IFERROR(__xludf.DUMMYFUNCTION("IMPORTRANGE(""https://docs.google.com/spreadsheets/d/1eHaY18a8A9IcSdp1K8H6x8fbOy06t2VsZHhMHf-1x7Y/edit?usp=sharing"",""แผน!BA82"")"),0)</f>
        <v>0</v>
      </c>
      <c r="M247" s="46"/>
      <c r="N247" s="639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9"/>
      <c r="B248" s="140"/>
      <c r="C248" s="665" t="s">
        <v>18</v>
      </c>
      <c r="D248" s="666" t="s">
        <v>38</v>
      </c>
      <c r="E248" s="142"/>
      <c r="F248" s="142"/>
      <c r="G248" s="143"/>
      <c r="H248" s="144"/>
      <c r="I248" s="136"/>
      <c r="J248" s="45"/>
      <c r="K248" s="46"/>
      <c r="L248" s="591"/>
      <c r="M248" s="46"/>
      <c r="N248" s="46"/>
      <c r="O248" s="137"/>
      <c r="P248" s="137"/>
      <c r="Q248" s="46"/>
      <c r="R248" s="46"/>
      <c r="S248" s="46"/>
      <c r="T248" s="137"/>
      <c r="U248" s="137"/>
    </row>
    <row r="249" spans="1:21" ht="18.75" hidden="1" x14ac:dyDescent="0.25">
      <c r="A249" s="139"/>
      <c r="B249" s="140"/>
      <c r="C249" s="140"/>
      <c r="D249" s="193" t="s">
        <v>108</v>
      </c>
      <c r="E249" s="170"/>
      <c r="F249" s="170"/>
      <c r="G249" s="144"/>
      <c r="H249" s="671" t="s">
        <v>35</v>
      </c>
      <c r="I249" s="517">
        <f ca="1">IFERROR(__xludf.DUMMYFUNCTION("IMPORTRANGE(""https://docs.google.com/spreadsheets/d/1eHaY18a8A9IcSdp1K8H6x8fbOy06t2VsZHhMHf-1x7Y/edit?usp=sharing"",""แผน!BG82"")"),0)</f>
        <v>0</v>
      </c>
      <c r="J249" s="627">
        <v>0</v>
      </c>
      <c r="K249" s="49">
        <f ca="1">IF(I249&gt;0,J249*100/I249,0)</f>
        <v>0</v>
      </c>
      <c r="L249" s="591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9"/>
      <c r="B250" s="140"/>
      <c r="C250" s="140"/>
      <c r="D250" s="672" t="s">
        <v>43</v>
      </c>
      <c r="E250" s="170"/>
      <c r="F250" s="170"/>
      <c r="G250" s="144"/>
      <c r="H250" s="144"/>
      <c r="I250" s="45"/>
      <c r="J250" s="45"/>
      <c r="K250" s="46"/>
      <c r="L250" s="591"/>
      <c r="M250" s="46"/>
      <c r="N250" s="46"/>
      <c r="O250" s="137"/>
      <c r="P250" s="137"/>
      <c r="Q250" s="46"/>
      <c r="R250" s="46"/>
      <c r="S250" s="46"/>
      <c r="T250" s="137"/>
      <c r="U250" s="137"/>
    </row>
    <row r="251" spans="1:21" ht="18.75" hidden="1" x14ac:dyDescent="0.25">
      <c r="A251" s="139"/>
      <c r="B251" s="140"/>
      <c r="C251" s="140"/>
      <c r="D251" s="140"/>
      <c r="E251" s="673" t="s">
        <v>109</v>
      </c>
      <c r="F251" s="170"/>
      <c r="G251" s="144"/>
      <c r="H251" s="671" t="s">
        <v>35</v>
      </c>
      <c r="I251" s="517">
        <v>0</v>
      </c>
      <c r="J251" s="627">
        <v>0</v>
      </c>
      <c r="K251" s="49">
        <f t="shared" ref="K251:K253" si="160">IF(I251&gt;0,J251*100/I251,0)</f>
        <v>0</v>
      </c>
      <c r="L251" s="591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9"/>
      <c r="B252" s="140"/>
      <c r="C252" s="140"/>
      <c r="D252" s="140"/>
      <c r="E252" s="673" t="s">
        <v>110</v>
      </c>
      <c r="F252" s="170"/>
      <c r="G252" s="144"/>
      <c r="H252" s="671" t="s">
        <v>61</v>
      </c>
      <c r="I252" s="517">
        <v>0</v>
      </c>
      <c r="J252" s="627">
        <v>0</v>
      </c>
      <c r="K252" s="49">
        <f t="shared" si="160"/>
        <v>0</v>
      </c>
      <c r="L252" s="591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30"/>
      <c r="B253" s="231"/>
      <c r="C253" s="642" t="s">
        <v>112</v>
      </c>
      <c r="D253" s="233"/>
      <c r="E253" s="233"/>
      <c r="F253" s="233"/>
      <c r="G253" s="234"/>
      <c r="H253" s="645" t="s">
        <v>35</v>
      </c>
      <c r="I253" s="646">
        <f t="shared" ref="I253:J253" ca="1" si="161">I260</f>
        <v>0</v>
      </c>
      <c r="J253" s="646">
        <f t="shared" si="161"/>
        <v>0</v>
      </c>
      <c r="K253" s="647">
        <f t="shared" ca="1" si="160"/>
        <v>0</v>
      </c>
      <c r="L253" s="634"/>
      <c r="M253" s="238"/>
      <c r="N253" s="238"/>
      <c r="O253" s="238"/>
      <c r="P253" s="238"/>
      <c r="Q253" s="238"/>
      <c r="R253" s="238"/>
      <c r="S253" s="238"/>
      <c r="T253" s="238"/>
      <c r="U253" s="238"/>
    </row>
    <row r="254" spans="1:21" ht="19.5" hidden="1" x14ac:dyDescent="0.3">
      <c r="A254" s="129"/>
      <c r="B254" s="200"/>
      <c r="C254" s="650" t="s">
        <v>18</v>
      </c>
      <c r="D254" s="674" t="s">
        <v>19</v>
      </c>
      <c r="E254" s="200"/>
      <c r="F254" s="200"/>
      <c r="G254" s="43"/>
      <c r="H254" s="512" t="s">
        <v>14</v>
      </c>
      <c r="I254" s="136"/>
      <c r="J254" s="136"/>
      <c r="K254" s="137"/>
      <c r="L254" s="617">
        <f ca="1">L255+L256+L257+L258</f>
        <v>0</v>
      </c>
      <c r="M254" s="46"/>
      <c r="N254" s="133">
        <f>N255+N256+N257+N258</f>
        <v>0</v>
      </c>
      <c r="O254" s="133">
        <f ca="1">IF(L254&gt;0,N254*100/L254,0)</f>
        <v>0</v>
      </c>
      <c r="P254" s="133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9"/>
      <c r="B255" s="160"/>
      <c r="C255" s="200"/>
      <c r="D255" s="158" t="s">
        <v>86</v>
      </c>
      <c r="E255" s="200"/>
      <c r="F255" s="200"/>
      <c r="G255" s="43"/>
      <c r="H255" s="161" t="s">
        <v>14</v>
      </c>
      <c r="I255" s="136"/>
      <c r="J255" s="136"/>
      <c r="K255" s="137"/>
      <c r="L255" s="588">
        <f ca="1">IFERROR(__xludf.DUMMYFUNCTION("IMPORTRANGE(""https://docs.google.com/spreadsheets/d/1eHaY18a8A9IcSdp1K8H6x8fbOy06t2VsZHhMHf-1x7Y/edit?usp=sharing"",""แผน!BB82"")"),0)</f>
        <v>0</v>
      </c>
      <c r="M255" s="46"/>
      <c r="N255" s="639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25"/>
      <c r="B256" s="160"/>
      <c r="C256" s="160"/>
      <c r="D256" s="158" t="s">
        <v>88</v>
      </c>
      <c r="E256" s="200"/>
      <c r="F256" s="200"/>
      <c r="G256" s="43"/>
      <c r="H256" s="161" t="s">
        <v>14</v>
      </c>
      <c r="I256" s="45"/>
      <c r="J256" s="45"/>
      <c r="K256" s="46"/>
      <c r="L256" s="588">
        <f ca="1">IFERROR(__xludf.DUMMYFUNCTION("IMPORTRANGE(""https://docs.google.com/spreadsheets/d/1eHaY18a8A9IcSdp1K8H6x8fbOy06t2VsZHhMHf-1x7Y/edit?usp=sharing"",""แผน!BC82"")"),0)</f>
        <v>0</v>
      </c>
      <c r="M256" s="46"/>
      <c r="N256" s="639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25"/>
      <c r="B257" s="160"/>
      <c r="C257" s="160"/>
      <c r="D257" s="158" t="s">
        <v>106</v>
      </c>
      <c r="E257" s="200"/>
      <c r="F257" s="200"/>
      <c r="G257" s="43"/>
      <c r="H257" s="161" t="s">
        <v>14</v>
      </c>
      <c r="I257" s="45"/>
      <c r="J257" s="45"/>
      <c r="K257" s="46"/>
      <c r="L257" s="588">
        <f ca="1">IFERROR(__xludf.DUMMYFUNCTION("IMPORTRANGE(""https://docs.google.com/spreadsheets/d/1eHaY18a8A9IcSdp1K8H6x8fbOy06t2VsZHhMHf-1x7Y/edit?usp=sharing"",""แผน!BD82"")"),0)</f>
        <v>0</v>
      </c>
      <c r="M257" s="46"/>
      <c r="N257" s="639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25"/>
      <c r="B258" s="160"/>
      <c r="C258" s="160"/>
      <c r="D258" s="158" t="s">
        <v>107</v>
      </c>
      <c r="E258" s="200"/>
      <c r="F258" s="200"/>
      <c r="G258" s="43"/>
      <c r="H258" s="161" t="s">
        <v>14</v>
      </c>
      <c r="I258" s="45"/>
      <c r="J258" s="45"/>
      <c r="K258" s="46"/>
      <c r="L258" s="588">
        <f ca="1">IFERROR(__xludf.DUMMYFUNCTION("IMPORTRANGE(""https://docs.google.com/spreadsheets/d/1eHaY18a8A9IcSdp1K8H6x8fbOy06t2VsZHhMHf-1x7Y/edit?usp=sharing"",""แผน!BE82"")"),0)</f>
        <v>0</v>
      </c>
      <c r="M258" s="46"/>
      <c r="N258" s="639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9"/>
      <c r="B259" s="140"/>
      <c r="C259" s="665" t="s">
        <v>18</v>
      </c>
      <c r="D259" s="666" t="s">
        <v>38</v>
      </c>
      <c r="E259" s="142"/>
      <c r="F259" s="142"/>
      <c r="G259" s="143"/>
      <c r="H259" s="144"/>
      <c r="I259" s="136"/>
      <c r="J259" s="45"/>
      <c r="K259" s="46"/>
      <c r="L259" s="591"/>
      <c r="M259" s="46"/>
      <c r="N259" s="46"/>
      <c r="O259" s="137"/>
      <c r="P259" s="137"/>
      <c r="Q259" s="46"/>
      <c r="R259" s="46"/>
      <c r="S259" s="46"/>
      <c r="T259" s="137"/>
      <c r="U259" s="137"/>
    </row>
    <row r="260" spans="1:21" ht="18.75" hidden="1" x14ac:dyDescent="0.25">
      <c r="A260" s="139"/>
      <c r="B260" s="140"/>
      <c r="C260" s="140"/>
      <c r="D260" s="193" t="s">
        <v>108</v>
      </c>
      <c r="E260" s="170"/>
      <c r="F260" s="170"/>
      <c r="G260" s="144"/>
      <c r="H260" s="671" t="s">
        <v>35</v>
      </c>
      <c r="I260" s="517">
        <f ca="1">IFERROR(__xludf.DUMMYFUNCTION("IMPORTRANGE(""https://docs.google.com/spreadsheets/d/1eHaY18a8A9IcSdp1K8H6x8fbOy06t2VsZHhMHf-1x7Y/edit?usp=sharing"",""แผน!BH82"")"),0)</f>
        <v>0</v>
      </c>
      <c r="J260" s="627">
        <v>0</v>
      </c>
      <c r="K260" s="49">
        <f ca="1">IF(I260&gt;0,J260*100/I260,0)</f>
        <v>0</v>
      </c>
      <c r="L260" s="591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9"/>
      <c r="B261" s="140"/>
      <c r="C261" s="140"/>
      <c r="D261" s="672" t="s">
        <v>43</v>
      </c>
      <c r="E261" s="170"/>
      <c r="F261" s="170"/>
      <c r="G261" s="144"/>
      <c r="H261" s="144"/>
      <c r="I261" s="45"/>
      <c r="J261" s="45"/>
      <c r="K261" s="46"/>
      <c r="L261" s="591"/>
      <c r="M261" s="46"/>
      <c r="N261" s="46"/>
      <c r="O261" s="137"/>
      <c r="P261" s="137"/>
      <c r="Q261" s="46"/>
      <c r="R261" s="46"/>
      <c r="S261" s="46"/>
      <c r="T261" s="137"/>
      <c r="U261" s="137"/>
    </row>
    <row r="262" spans="1:21" ht="18.75" hidden="1" x14ac:dyDescent="0.25">
      <c r="A262" s="139"/>
      <c r="B262" s="140"/>
      <c r="C262" s="140"/>
      <c r="D262" s="140"/>
      <c r="E262" s="673" t="s">
        <v>109</v>
      </c>
      <c r="F262" s="170"/>
      <c r="G262" s="144"/>
      <c r="H262" s="671" t="s">
        <v>35</v>
      </c>
      <c r="I262" s="45"/>
      <c r="J262" s="627">
        <v>0</v>
      </c>
      <c r="K262" s="49">
        <f t="shared" ref="K262:K263" si="162">IF(I262&gt;0,J262*100/I262,0)</f>
        <v>0</v>
      </c>
      <c r="L262" s="591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9"/>
      <c r="B263" s="140"/>
      <c r="C263" s="140"/>
      <c r="D263" s="140"/>
      <c r="E263" s="673" t="s">
        <v>110</v>
      </c>
      <c r="F263" s="170"/>
      <c r="G263" s="144"/>
      <c r="H263" s="671" t="s">
        <v>61</v>
      </c>
      <c r="I263" s="45"/>
      <c r="J263" s="627">
        <v>0</v>
      </c>
      <c r="K263" s="49">
        <f t="shared" si="162"/>
        <v>0</v>
      </c>
      <c r="L263" s="591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675" t="s">
        <v>113</v>
      </c>
      <c r="B264" s="676"/>
      <c r="C264" s="676"/>
      <c r="D264" s="677"/>
      <c r="E264" s="677"/>
      <c r="F264" s="677"/>
      <c r="G264" s="678"/>
      <c r="H264" s="678"/>
      <c r="I264" s="679"/>
      <c r="J264" s="679"/>
      <c r="K264" s="680"/>
      <c r="L264" s="631"/>
      <c r="M264" s="217"/>
      <c r="N264" s="217"/>
      <c r="O264" s="217"/>
      <c r="P264" s="217"/>
      <c r="Q264" s="217"/>
      <c r="R264" s="217"/>
      <c r="S264" s="217"/>
      <c r="T264" s="217"/>
      <c r="U264" s="217"/>
    </row>
    <row r="265" spans="1:21" ht="19.5" x14ac:dyDescent="0.3">
      <c r="A265" s="682"/>
      <c r="B265" s="683" t="s">
        <v>114</v>
      </c>
      <c r="C265" s="684"/>
      <c r="D265" s="455"/>
      <c r="E265" s="455"/>
      <c r="F265" s="455"/>
      <c r="G265" s="456"/>
      <c r="H265" s="685" t="s">
        <v>35</v>
      </c>
      <c r="I265" s="686">
        <f t="shared" ref="I265:J265" ca="1" si="163">I276</f>
        <v>22</v>
      </c>
      <c r="J265" s="686">
        <f t="shared" si="163"/>
        <v>22</v>
      </c>
      <c r="K265" s="687">
        <f ca="1">IF(I265&gt;0,J265*100/I265,0)</f>
        <v>100</v>
      </c>
      <c r="L265" s="632"/>
      <c r="M265" s="224"/>
      <c r="N265" s="224"/>
      <c r="O265" s="224"/>
      <c r="P265" s="224"/>
      <c r="Q265" s="224"/>
      <c r="R265" s="224"/>
      <c r="S265" s="224"/>
      <c r="T265" s="224"/>
      <c r="U265" s="224"/>
    </row>
    <row r="266" spans="1:21" ht="19.5" x14ac:dyDescent="0.3">
      <c r="A266" s="436"/>
      <c r="B266" s="444"/>
      <c r="C266" s="409" t="s">
        <v>18</v>
      </c>
      <c r="D266" s="438" t="s">
        <v>19</v>
      </c>
      <c r="E266" s="444"/>
      <c r="F266" s="444"/>
      <c r="G266" s="445"/>
      <c r="H266" s="690" t="s">
        <v>14</v>
      </c>
      <c r="I266" s="440"/>
      <c r="J266" s="440"/>
      <c r="K266" s="353"/>
      <c r="L266" s="617">
        <f t="shared" ref="L266:N266" ca="1" si="164">L267+L268</f>
        <v>5000</v>
      </c>
      <c r="M266" s="133">
        <f t="shared" ca="1" si="164"/>
        <v>40920</v>
      </c>
      <c r="N266" s="133">
        <f t="shared" ca="1" si="164"/>
        <v>40920</v>
      </c>
      <c r="O266" s="133">
        <f t="shared" ref="O266:O274" ca="1" si="165">IF(L266&gt;0,N266*100/L266,0)</f>
        <v>818.4</v>
      </c>
      <c r="P266" s="133">
        <f t="shared" ref="P266:P274" ca="1" si="166">IF(M266&gt;0,N266*100/M266,0)</f>
        <v>100</v>
      </c>
      <c r="Q266" s="133">
        <f t="shared" ref="Q266:S266" ca="1" si="167">Q267+Q268</f>
        <v>50660</v>
      </c>
      <c r="R266" s="133">
        <f t="shared" ca="1" si="167"/>
        <v>50660</v>
      </c>
      <c r="S266" s="133">
        <f t="shared" ca="1" si="167"/>
        <v>50660</v>
      </c>
      <c r="T266" s="133">
        <f t="shared" ref="T266:T274" ca="1" si="168">IF(Q266&gt;0,S266*100/Q266,0)</f>
        <v>100</v>
      </c>
      <c r="U266" s="133">
        <f t="shared" ref="U266:U274" ca="1" si="169">IF(R266&gt;0,S266*100/R266,0)</f>
        <v>100</v>
      </c>
    </row>
    <row r="267" spans="1:21" ht="18.75" hidden="1" x14ac:dyDescent="0.25">
      <c r="A267" s="648"/>
      <c r="B267" s="649"/>
      <c r="C267" s="649"/>
      <c r="D267" s="649"/>
      <c r="E267" s="158" t="s">
        <v>20</v>
      </c>
      <c r="F267" s="649"/>
      <c r="G267" s="652"/>
      <c r="H267" s="159" t="s">
        <v>14</v>
      </c>
      <c r="I267" s="661"/>
      <c r="J267" s="661"/>
      <c r="K267" s="662"/>
      <c r="L267" s="590">
        <f t="shared" ref="L267:N268" si="170">L270+L273</f>
        <v>0</v>
      </c>
      <c r="M267" s="49">
        <f t="shared" si="170"/>
        <v>0</v>
      </c>
      <c r="N267" s="49">
        <f t="shared" si="170"/>
        <v>0</v>
      </c>
      <c r="O267" s="49">
        <f t="shared" si="165"/>
        <v>0</v>
      </c>
      <c r="P267" s="49">
        <f t="shared" si="166"/>
        <v>0</v>
      </c>
      <c r="Q267" s="49">
        <f t="shared" ref="Q267:S268" si="171">Q270+Q273</f>
        <v>0</v>
      </c>
      <c r="R267" s="49">
        <f t="shared" si="171"/>
        <v>0</v>
      </c>
      <c r="S267" s="49">
        <f t="shared" si="171"/>
        <v>0</v>
      </c>
      <c r="T267" s="49">
        <f t="shared" si="168"/>
        <v>0</v>
      </c>
      <c r="U267" s="49">
        <f t="shared" si="169"/>
        <v>0</v>
      </c>
    </row>
    <row r="268" spans="1:21" ht="18.75" hidden="1" x14ac:dyDescent="0.25">
      <c r="A268" s="436"/>
      <c r="B268" s="444"/>
      <c r="C268" s="444"/>
      <c r="D268" s="444"/>
      <c r="E268" s="443" t="s">
        <v>21</v>
      </c>
      <c r="F268" s="444"/>
      <c r="G268" s="445"/>
      <c r="H268" s="350" t="s">
        <v>14</v>
      </c>
      <c r="I268" s="440"/>
      <c r="J268" s="440"/>
      <c r="K268" s="353"/>
      <c r="L268" s="588">
        <f t="shared" ca="1" si="170"/>
        <v>5000</v>
      </c>
      <c r="M268" s="47">
        <f t="shared" ca="1" si="170"/>
        <v>40920</v>
      </c>
      <c r="N268" s="47">
        <f t="shared" ca="1" si="170"/>
        <v>40920</v>
      </c>
      <c r="O268" s="47">
        <f t="shared" ca="1" si="165"/>
        <v>818.4</v>
      </c>
      <c r="P268" s="47">
        <f t="shared" ca="1" si="166"/>
        <v>100</v>
      </c>
      <c r="Q268" s="47">
        <f t="shared" ca="1" si="171"/>
        <v>50660</v>
      </c>
      <c r="R268" s="47">
        <f t="shared" ca="1" si="171"/>
        <v>50660</v>
      </c>
      <c r="S268" s="47">
        <f t="shared" ca="1" si="171"/>
        <v>50660</v>
      </c>
      <c r="T268" s="47">
        <f t="shared" ca="1" si="168"/>
        <v>100</v>
      </c>
      <c r="U268" s="47">
        <f t="shared" ca="1" si="169"/>
        <v>100</v>
      </c>
    </row>
    <row r="269" spans="1:21" ht="18.75" x14ac:dyDescent="0.25">
      <c r="A269" s="436"/>
      <c r="B269" s="444"/>
      <c r="C269" s="444"/>
      <c r="D269" s="693" t="s">
        <v>22</v>
      </c>
      <c r="E269" s="444"/>
      <c r="F269" s="444"/>
      <c r="G269" s="445"/>
      <c r="H269" s="446" t="s">
        <v>14</v>
      </c>
      <c r="I269" s="448"/>
      <c r="J269" s="448"/>
      <c r="K269" s="449"/>
      <c r="L269" s="588">
        <f t="shared" ref="L269:N269" ca="1" si="172">L270+L271</f>
        <v>5000</v>
      </c>
      <c r="M269" s="47">
        <f t="shared" ca="1" si="172"/>
        <v>40920</v>
      </c>
      <c r="N269" s="47">
        <f t="shared" ca="1" si="172"/>
        <v>40920</v>
      </c>
      <c r="O269" s="47">
        <f t="shared" ca="1" si="165"/>
        <v>818.4</v>
      </c>
      <c r="P269" s="47">
        <f t="shared" ca="1" si="166"/>
        <v>100</v>
      </c>
      <c r="Q269" s="47">
        <f t="shared" ref="Q269:S269" ca="1" si="173">Q270+Q271</f>
        <v>50660</v>
      </c>
      <c r="R269" s="47">
        <f t="shared" ca="1" si="173"/>
        <v>50660</v>
      </c>
      <c r="S269" s="47">
        <f t="shared" ca="1" si="173"/>
        <v>50660</v>
      </c>
      <c r="T269" s="47">
        <f t="shared" ca="1" si="168"/>
        <v>100</v>
      </c>
      <c r="U269" s="47">
        <f t="shared" ca="1" si="169"/>
        <v>100</v>
      </c>
    </row>
    <row r="270" spans="1:21" ht="18.75" hidden="1" x14ac:dyDescent="0.25">
      <c r="A270" s="648"/>
      <c r="B270" s="649"/>
      <c r="C270" s="649"/>
      <c r="D270" s="649"/>
      <c r="E270" s="158" t="s">
        <v>36</v>
      </c>
      <c r="F270" s="649"/>
      <c r="G270" s="652"/>
      <c r="H270" s="161" t="s">
        <v>14</v>
      </c>
      <c r="I270" s="653"/>
      <c r="J270" s="653"/>
      <c r="K270" s="654"/>
      <c r="L270" s="590">
        <v>0</v>
      </c>
      <c r="M270" s="49">
        <v>0</v>
      </c>
      <c r="N270" s="49">
        <v>0</v>
      </c>
      <c r="O270" s="49">
        <f t="shared" si="165"/>
        <v>0</v>
      </c>
      <c r="P270" s="49">
        <f t="shared" si="166"/>
        <v>0</v>
      </c>
      <c r="Q270" s="49">
        <v>0</v>
      </c>
      <c r="R270" s="49">
        <v>0</v>
      </c>
      <c r="S270" s="49">
        <v>0</v>
      </c>
      <c r="T270" s="49">
        <f t="shared" si="168"/>
        <v>0</v>
      </c>
      <c r="U270" s="49">
        <f t="shared" si="169"/>
        <v>0</v>
      </c>
    </row>
    <row r="271" spans="1:21" ht="18.75" hidden="1" x14ac:dyDescent="0.25">
      <c r="A271" s="436"/>
      <c r="B271" s="444"/>
      <c r="C271" s="444"/>
      <c r="D271" s="444"/>
      <c r="E271" s="443" t="s">
        <v>37</v>
      </c>
      <c r="F271" s="444"/>
      <c r="G271" s="445"/>
      <c r="H271" s="446" t="s">
        <v>14</v>
      </c>
      <c r="I271" s="448"/>
      <c r="J271" s="448"/>
      <c r="K271" s="449"/>
      <c r="L271" s="588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IFERROR(__xludf.DUMMYFUNCTION("IMPORTRANGE(""https://docs.google.com/spreadsheets/d/1-uDff_7J0KD5mKrp0Vvzr7lt3OU09vwQwhkpOPPYv2Y/edit?usp=sharing"",""งบพรบ!DJ82"")"),40920)</f>
        <v>40920</v>
      </c>
      <c r="N271" s="47">
        <f ca="1">IFERROR(__xludf.DUMMYFUNCTION("IMPORTRANGE(""https://docs.google.com/spreadsheets/d/1-uDff_7J0KD5mKrp0Vvzr7lt3OU09vwQwhkpOPPYv2Y/edit?usp=sharing"",""งบพรบ!DL82"")"),40920)</f>
        <v>40920</v>
      </c>
      <c r="O271" s="47">
        <f t="shared" ca="1" si="165"/>
        <v>818.4</v>
      </c>
      <c r="P271" s="47">
        <f t="shared" ca="1" si="166"/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IFERROR(__xludf.DUMMYFUNCTION("IMPORTRANGE(""https://docs.google.com/spreadsheets/d/1ItG2mGa2ceCfYo0BwxsXqNm01IGEUdYcSSLTEv9YCik/edit?usp=sharing"",""เบิกจ่ายกองทุน!AR82"")"),50660)</f>
        <v>50660</v>
      </c>
      <c r="T271" s="47">
        <f t="shared" ca="1" si="168"/>
        <v>100</v>
      </c>
      <c r="U271" s="47">
        <f t="shared" ca="1" si="169"/>
        <v>100</v>
      </c>
    </row>
    <row r="272" spans="1:21" ht="18.75" x14ac:dyDescent="0.25">
      <c r="A272" s="436"/>
      <c r="B272" s="444"/>
      <c r="C272" s="444"/>
      <c r="D272" s="693" t="s">
        <v>23</v>
      </c>
      <c r="E272" s="444"/>
      <c r="F272" s="444"/>
      <c r="G272" s="445"/>
      <c r="H272" s="451" t="s">
        <v>14</v>
      </c>
      <c r="I272" s="448"/>
      <c r="J272" s="448"/>
      <c r="K272" s="449"/>
      <c r="L272" s="588">
        <f t="shared" ref="L272:N272" ca="1" si="174">L273+L274</f>
        <v>0</v>
      </c>
      <c r="M272" s="47">
        <f t="shared" ca="1" si="174"/>
        <v>0</v>
      </c>
      <c r="N272" s="47">
        <f t="shared" ca="1" si="174"/>
        <v>0</v>
      </c>
      <c r="O272" s="47">
        <f t="shared" ca="1" si="165"/>
        <v>0</v>
      </c>
      <c r="P272" s="47">
        <f t="shared" ca="1" si="166"/>
        <v>0</v>
      </c>
      <c r="Q272" s="47">
        <f t="shared" ref="Q272:S272" si="175">Q273+Q274</f>
        <v>0</v>
      </c>
      <c r="R272" s="47">
        <f t="shared" si="175"/>
        <v>0</v>
      </c>
      <c r="S272" s="47">
        <f t="shared" si="175"/>
        <v>0</v>
      </c>
      <c r="T272" s="47">
        <f t="shared" si="168"/>
        <v>0</v>
      </c>
      <c r="U272" s="47">
        <f t="shared" si="169"/>
        <v>0</v>
      </c>
    </row>
    <row r="273" spans="1:21" ht="18.75" hidden="1" x14ac:dyDescent="0.25">
      <c r="A273" s="648"/>
      <c r="B273" s="649"/>
      <c r="C273" s="649"/>
      <c r="D273" s="649"/>
      <c r="E273" s="158" t="s">
        <v>20</v>
      </c>
      <c r="F273" s="649"/>
      <c r="G273" s="652"/>
      <c r="H273" s="161" t="s">
        <v>14</v>
      </c>
      <c r="I273" s="653"/>
      <c r="J273" s="653"/>
      <c r="K273" s="654"/>
      <c r="L273" s="590">
        <v>0</v>
      </c>
      <c r="M273" s="49">
        <v>0</v>
      </c>
      <c r="N273" s="49">
        <v>0</v>
      </c>
      <c r="O273" s="49">
        <f t="shared" si="165"/>
        <v>0</v>
      </c>
      <c r="P273" s="49">
        <f t="shared" si="166"/>
        <v>0</v>
      </c>
      <c r="Q273" s="49">
        <v>0</v>
      </c>
      <c r="R273" s="49">
        <v>0</v>
      </c>
      <c r="S273" s="49">
        <v>0</v>
      </c>
      <c r="T273" s="49">
        <f t="shared" si="168"/>
        <v>0</v>
      </c>
      <c r="U273" s="49">
        <f t="shared" si="169"/>
        <v>0</v>
      </c>
    </row>
    <row r="274" spans="1:21" ht="18.75" hidden="1" x14ac:dyDescent="0.25">
      <c r="A274" s="436"/>
      <c r="B274" s="444"/>
      <c r="C274" s="444"/>
      <c r="D274" s="444"/>
      <c r="E274" s="443" t="s">
        <v>21</v>
      </c>
      <c r="F274" s="444"/>
      <c r="G274" s="445"/>
      <c r="H274" s="451" t="s">
        <v>14</v>
      </c>
      <c r="I274" s="448"/>
      <c r="J274" s="448"/>
      <c r="K274" s="449"/>
      <c r="L274" s="588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t="shared" ca="1" si="165"/>
        <v>0</v>
      </c>
      <c r="P274" s="47">
        <f t="shared" ca="1" si="166"/>
        <v>0</v>
      </c>
      <c r="Q274" s="47">
        <v>0</v>
      </c>
      <c r="R274" s="47">
        <v>0</v>
      </c>
      <c r="S274" s="47">
        <v>0</v>
      </c>
      <c r="T274" s="47">
        <f t="shared" si="168"/>
        <v>0</v>
      </c>
      <c r="U274" s="47">
        <f t="shared" si="169"/>
        <v>0</v>
      </c>
    </row>
    <row r="275" spans="1:21" ht="19.5" x14ac:dyDescent="0.3">
      <c r="A275" s="452"/>
      <c r="B275" s="453"/>
      <c r="C275" s="409" t="s">
        <v>18</v>
      </c>
      <c r="D275" s="694" t="s">
        <v>38</v>
      </c>
      <c r="E275" s="455"/>
      <c r="F275" s="455"/>
      <c r="G275" s="456"/>
      <c r="H275" s="459"/>
      <c r="I275" s="448"/>
      <c r="J275" s="448"/>
      <c r="K275" s="449"/>
      <c r="L275" s="619"/>
      <c r="M275" s="137"/>
      <c r="N275" s="137"/>
      <c r="O275" s="137"/>
      <c r="P275" s="137"/>
      <c r="Q275" s="137"/>
      <c r="R275" s="137"/>
      <c r="S275" s="137"/>
      <c r="T275" s="137"/>
      <c r="U275" s="137"/>
    </row>
    <row r="276" spans="1:21" ht="18.75" x14ac:dyDescent="0.25">
      <c r="A276" s="899"/>
      <c r="B276" s="900"/>
      <c r="C276" s="900"/>
      <c r="D276" s="901" t="s">
        <v>115</v>
      </c>
      <c r="E276" s="902"/>
      <c r="F276" s="902"/>
      <c r="G276" s="903"/>
      <c r="H276" s="904" t="s">
        <v>35</v>
      </c>
      <c r="I276" s="905">
        <f ca="1">IFERROR(__xludf.DUMMYFUNCTION("IMPORTRANGE(""https://docs.google.com/spreadsheets/d/1eHaY18a8A9IcSdp1K8H6x8fbOy06t2VsZHhMHf-1x7Y/edit?usp=sharing"",""แผน!EC82"")"),22)</f>
        <v>22</v>
      </c>
      <c r="J276" s="906">
        <v>22</v>
      </c>
      <c r="K276" s="907">
        <f ca="1">IF(I276&gt;0,J276*100/I276,0)</f>
        <v>100</v>
      </c>
      <c r="L276" s="591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61"/>
      <c r="B277" s="862"/>
      <c r="C277" s="862"/>
      <c r="D277" s="698" t="s">
        <v>116</v>
      </c>
      <c r="E277" s="863"/>
      <c r="F277" s="863"/>
      <c r="G277" s="864"/>
      <c r="H277" s="699" t="s">
        <v>35</v>
      </c>
      <c r="I277" s="520">
        <v>0</v>
      </c>
      <c r="J277" s="520">
        <v>0</v>
      </c>
      <c r="K277" s="700">
        <v>0</v>
      </c>
      <c r="L277" s="908"/>
      <c r="M277" s="909"/>
      <c r="N277" s="909"/>
      <c r="O277" s="909"/>
      <c r="P277" s="909"/>
      <c r="Q277" s="909"/>
      <c r="R277" s="909"/>
      <c r="S277" s="909"/>
      <c r="T277" s="909"/>
      <c r="U277" s="909"/>
    </row>
    <row r="278" spans="1:21" ht="19.5" hidden="1" x14ac:dyDescent="0.3">
      <c r="A278" s="281" t="s">
        <v>117</v>
      </c>
      <c r="B278" s="282"/>
      <c r="C278" s="282"/>
      <c r="D278" s="282"/>
      <c r="E278" s="283"/>
      <c r="F278" s="283"/>
      <c r="G278" s="283"/>
      <c r="H278" s="283"/>
      <c r="I278" s="284"/>
      <c r="J278" s="284"/>
      <c r="K278" s="285"/>
      <c r="L278" s="285"/>
      <c r="M278" s="285"/>
      <c r="N278" s="285"/>
      <c r="O278" s="285"/>
      <c r="P278" s="286"/>
      <c r="Q278" s="285"/>
      <c r="R278" s="285"/>
      <c r="S278" s="285"/>
      <c r="T278" s="285"/>
      <c r="U278" s="286"/>
    </row>
    <row r="279" spans="1:21" ht="19.5" hidden="1" x14ac:dyDescent="0.3">
      <c r="A279" s="287" t="s">
        <v>118</v>
      </c>
      <c r="B279" s="288"/>
      <c r="C279" s="289"/>
      <c r="D279" s="288"/>
      <c r="E279" s="288"/>
      <c r="F279" s="288"/>
      <c r="G279" s="288"/>
      <c r="H279" s="288"/>
      <c r="I279" s="290"/>
      <c r="J279" s="291"/>
      <c r="K279" s="292"/>
      <c r="L279" s="702"/>
      <c r="M279" s="292"/>
      <c r="N279" s="292"/>
      <c r="O279" s="292"/>
      <c r="P279" s="292"/>
      <c r="Q279" s="292"/>
      <c r="R279" s="292"/>
      <c r="S279" s="292"/>
      <c r="T279" s="292"/>
      <c r="U279" s="292"/>
    </row>
    <row r="280" spans="1:21" ht="19.5" hidden="1" x14ac:dyDescent="0.3">
      <c r="A280" s="293"/>
      <c r="B280" s="294" t="s">
        <v>119</v>
      </c>
      <c r="C280" s="295"/>
      <c r="D280" s="296"/>
      <c r="E280" s="295"/>
      <c r="F280" s="295"/>
      <c r="G280" s="297"/>
      <c r="H280" s="298" t="s">
        <v>35</v>
      </c>
      <c r="I280" s="299">
        <f t="shared" ref="I280:J280" ca="1" si="176">I293</f>
        <v>0</v>
      </c>
      <c r="J280" s="299">
        <f t="shared" si="176"/>
        <v>0</v>
      </c>
      <c r="K280" s="300">
        <f t="shared" ref="K280:K281" ca="1" si="177">IF(I280&gt;0,J280*100/I280,0)</f>
        <v>0</v>
      </c>
      <c r="L280" s="703"/>
      <c r="M280" s="301"/>
      <c r="N280" s="301"/>
      <c r="O280" s="301"/>
      <c r="P280" s="301"/>
      <c r="Q280" s="301"/>
      <c r="R280" s="301"/>
      <c r="S280" s="301"/>
      <c r="T280" s="301"/>
      <c r="U280" s="301"/>
    </row>
    <row r="281" spans="1:21" ht="19.5" hidden="1" x14ac:dyDescent="0.3">
      <c r="A281" s="293"/>
      <c r="B281" s="295"/>
      <c r="C281" s="295"/>
      <c r="D281" s="296"/>
      <c r="E281" s="295"/>
      <c r="F281" s="295"/>
      <c r="G281" s="297"/>
      <c r="H281" s="298" t="s">
        <v>46</v>
      </c>
      <c r="I281" s="299">
        <f t="shared" ref="I281:J281" ca="1" si="178">I292</f>
        <v>0</v>
      </c>
      <c r="J281" s="299">
        <f t="shared" si="178"/>
        <v>0</v>
      </c>
      <c r="K281" s="300">
        <f t="shared" ca="1" si="177"/>
        <v>0</v>
      </c>
      <c r="L281" s="703"/>
      <c r="M281" s="301"/>
      <c r="N281" s="301"/>
      <c r="O281" s="301"/>
      <c r="P281" s="301"/>
      <c r="Q281" s="301"/>
      <c r="R281" s="301"/>
      <c r="S281" s="301"/>
      <c r="T281" s="301"/>
      <c r="U281" s="301"/>
    </row>
    <row r="282" spans="1:21" ht="19.5" hidden="1" x14ac:dyDescent="0.3">
      <c r="A282" s="129"/>
      <c r="B282" s="200"/>
      <c r="C282" s="199" t="s">
        <v>18</v>
      </c>
      <c r="D282" s="616" t="s">
        <v>19</v>
      </c>
      <c r="E282" s="200"/>
      <c r="F282" s="200"/>
      <c r="G282" s="43"/>
      <c r="H282" s="132" t="s">
        <v>14</v>
      </c>
      <c r="I282" s="45"/>
      <c r="J282" s="45"/>
      <c r="K282" s="46"/>
      <c r="L282" s="617">
        <f t="shared" ref="L282:N282" ca="1" si="179">L283+L284</f>
        <v>0</v>
      </c>
      <c r="M282" s="133">
        <f t="shared" ca="1" si="179"/>
        <v>0</v>
      </c>
      <c r="N282" s="133">
        <f t="shared" ca="1" si="179"/>
        <v>0</v>
      </c>
      <c r="O282" s="133">
        <f t="shared" ref="O282:O290" ca="1" si="180">IF(L282&gt;0,N282*100/L282,0)</f>
        <v>0</v>
      </c>
      <c r="P282" s="133">
        <f t="shared" ref="P282:P290" ca="1" si="181">IF(M282&gt;0,N282*100/M282,0)</f>
        <v>0</v>
      </c>
      <c r="Q282" s="133">
        <f t="shared" ref="Q282:S282" si="182">Q283+Q284</f>
        <v>0</v>
      </c>
      <c r="R282" s="133">
        <f t="shared" si="182"/>
        <v>0</v>
      </c>
      <c r="S282" s="133">
        <f t="shared" si="182"/>
        <v>0</v>
      </c>
      <c r="T282" s="133">
        <f t="shared" ref="T282:T290" si="183">IF(Q282&gt;0,S282*100/Q282,0)</f>
        <v>0</v>
      </c>
      <c r="U282" s="133">
        <f t="shared" ref="U282:U290" si="184">IF(R282&gt;0,S282*100/R282,0)</f>
        <v>0</v>
      </c>
    </row>
    <row r="283" spans="1:21" ht="18.75" hidden="1" x14ac:dyDescent="0.25">
      <c r="A283" s="129"/>
      <c r="B283" s="200"/>
      <c r="C283" s="200"/>
      <c r="D283" s="200"/>
      <c r="E283" s="158" t="s">
        <v>20</v>
      </c>
      <c r="F283" s="200"/>
      <c r="G283" s="43"/>
      <c r="H283" s="159" t="s">
        <v>14</v>
      </c>
      <c r="I283" s="45"/>
      <c r="J283" s="45"/>
      <c r="K283" s="46"/>
      <c r="L283" s="590">
        <f t="shared" ref="L283:N284" si="185">L286+L289</f>
        <v>0</v>
      </c>
      <c r="M283" s="49">
        <f t="shared" si="185"/>
        <v>0</v>
      </c>
      <c r="N283" s="49">
        <f t="shared" si="185"/>
        <v>0</v>
      </c>
      <c r="O283" s="49">
        <f t="shared" si="180"/>
        <v>0</v>
      </c>
      <c r="P283" s="49">
        <f t="shared" si="181"/>
        <v>0</v>
      </c>
      <c r="Q283" s="49">
        <f t="shared" ref="Q283:S284" si="186">Q286+Q289</f>
        <v>0</v>
      </c>
      <c r="R283" s="49">
        <f t="shared" si="186"/>
        <v>0</v>
      </c>
      <c r="S283" s="49">
        <f t="shared" si="186"/>
        <v>0</v>
      </c>
      <c r="T283" s="49">
        <f t="shared" si="183"/>
        <v>0</v>
      </c>
      <c r="U283" s="49">
        <f t="shared" si="184"/>
        <v>0</v>
      </c>
    </row>
    <row r="284" spans="1:21" ht="18.75" hidden="1" x14ac:dyDescent="0.25">
      <c r="A284" s="129"/>
      <c r="B284" s="200"/>
      <c r="C284" s="200"/>
      <c r="D284" s="200"/>
      <c r="E284" s="271" t="s">
        <v>21</v>
      </c>
      <c r="F284" s="200"/>
      <c r="G284" s="43"/>
      <c r="H284" s="134" t="s">
        <v>14</v>
      </c>
      <c r="I284" s="45"/>
      <c r="J284" s="45"/>
      <c r="K284" s="46"/>
      <c r="L284" s="588">
        <f t="shared" ca="1" si="185"/>
        <v>0</v>
      </c>
      <c r="M284" s="47">
        <f t="shared" ca="1" si="185"/>
        <v>0</v>
      </c>
      <c r="N284" s="47">
        <f t="shared" ca="1" si="185"/>
        <v>0</v>
      </c>
      <c r="O284" s="47">
        <f t="shared" ca="1" si="180"/>
        <v>0</v>
      </c>
      <c r="P284" s="47">
        <f t="shared" ca="1" si="181"/>
        <v>0</v>
      </c>
      <c r="Q284" s="47">
        <f t="shared" si="186"/>
        <v>0</v>
      </c>
      <c r="R284" s="47">
        <f t="shared" si="186"/>
        <v>0</v>
      </c>
      <c r="S284" s="47">
        <f t="shared" si="186"/>
        <v>0</v>
      </c>
      <c r="T284" s="47">
        <f t="shared" si="183"/>
        <v>0</v>
      </c>
      <c r="U284" s="47">
        <f t="shared" si="184"/>
        <v>0</v>
      </c>
    </row>
    <row r="285" spans="1:21" ht="18.75" hidden="1" x14ac:dyDescent="0.25">
      <c r="A285" s="129"/>
      <c r="B285" s="200"/>
      <c r="C285" s="200"/>
      <c r="D285" s="42" t="s">
        <v>22</v>
      </c>
      <c r="E285" s="200"/>
      <c r="F285" s="200"/>
      <c r="G285" s="43"/>
      <c r="H285" s="135" t="s">
        <v>14</v>
      </c>
      <c r="I285" s="136"/>
      <c r="J285" s="136"/>
      <c r="K285" s="137"/>
      <c r="L285" s="588">
        <f t="shared" ref="L285:N285" ca="1" si="187">L286+L287</f>
        <v>0</v>
      </c>
      <c r="M285" s="47">
        <f t="shared" ca="1" si="187"/>
        <v>0</v>
      </c>
      <c r="N285" s="47">
        <f t="shared" ca="1" si="187"/>
        <v>0</v>
      </c>
      <c r="O285" s="47">
        <f t="shared" ca="1" si="180"/>
        <v>0</v>
      </c>
      <c r="P285" s="47">
        <f t="shared" ca="1" si="181"/>
        <v>0</v>
      </c>
      <c r="Q285" s="47">
        <f t="shared" ref="Q285:S285" si="188">Q286+Q287</f>
        <v>0</v>
      </c>
      <c r="R285" s="47">
        <f t="shared" si="188"/>
        <v>0</v>
      </c>
      <c r="S285" s="47">
        <f t="shared" si="188"/>
        <v>0</v>
      </c>
      <c r="T285" s="47">
        <f t="shared" si="183"/>
        <v>0</v>
      </c>
      <c r="U285" s="47">
        <f t="shared" si="184"/>
        <v>0</v>
      </c>
    </row>
    <row r="286" spans="1:21" ht="18.75" hidden="1" x14ac:dyDescent="0.25">
      <c r="A286" s="129"/>
      <c r="B286" s="200"/>
      <c r="C286" s="200"/>
      <c r="D286" s="200"/>
      <c r="E286" s="158" t="s">
        <v>36</v>
      </c>
      <c r="F286" s="200"/>
      <c r="G286" s="43"/>
      <c r="H286" s="161" t="s">
        <v>14</v>
      </c>
      <c r="I286" s="136"/>
      <c r="J286" s="136"/>
      <c r="K286" s="137"/>
      <c r="L286" s="590">
        <v>0</v>
      </c>
      <c r="M286" s="49">
        <v>0</v>
      </c>
      <c r="N286" s="49">
        <v>0</v>
      </c>
      <c r="O286" s="49">
        <f t="shared" si="180"/>
        <v>0</v>
      </c>
      <c r="P286" s="49">
        <f t="shared" si="181"/>
        <v>0</v>
      </c>
      <c r="Q286" s="49">
        <v>0</v>
      </c>
      <c r="R286" s="49">
        <v>0</v>
      </c>
      <c r="S286" s="49">
        <v>0</v>
      </c>
      <c r="T286" s="49">
        <f t="shared" si="183"/>
        <v>0</v>
      </c>
      <c r="U286" s="49">
        <f t="shared" si="184"/>
        <v>0</v>
      </c>
    </row>
    <row r="287" spans="1:21" ht="18.75" hidden="1" x14ac:dyDescent="0.25">
      <c r="A287" s="129"/>
      <c r="B287" s="200"/>
      <c r="C287" s="200"/>
      <c r="D287" s="200"/>
      <c r="E287" s="271" t="s">
        <v>37</v>
      </c>
      <c r="F287" s="200"/>
      <c r="G287" s="43"/>
      <c r="H287" s="135" t="s">
        <v>14</v>
      </c>
      <c r="I287" s="136"/>
      <c r="J287" s="136"/>
      <c r="K287" s="137"/>
      <c r="L287" s="588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t="shared" ca="1" si="180"/>
        <v>0</v>
      </c>
      <c r="P287" s="47">
        <f t="shared" ca="1" si="181"/>
        <v>0</v>
      </c>
      <c r="Q287" s="47">
        <v>0</v>
      </c>
      <c r="R287" s="47">
        <v>0</v>
      </c>
      <c r="S287" s="47">
        <v>0</v>
      </c>
      <c r="T287" s="49">
        <f t="shared" si="183"/>
        <v>0</v>
      </c>
      <c r="U287" s="49">
        <f t="shared" si="184"/>
        <v>0</v>
      </c>
    </row>
    <row r="288" spans="1:21" ht="18.75" hidden="1" x14ac:dyDescent="0.25">
      <c r="A288" s="129"/>
      <c r="B288" s="200"/>
      <c r="C288" s="200"/>
      <c r="D288" s="42" t="s">
        <v>23</v>
      </c>
      <c r="E288" s="200"/>
      <c r="F288" s="200"/>
      <c r="G288" s="43"/>
      <c r="H288" s="138" t="s">
        <v>14</v>
      </c>
      <c r="I288" s="136"/>
      <c r="J288" s="136"/>
      <c r="K288" s="137"/>
      <c r="L288" s="588">
        <f t="shared" ref="L288:N288" ca="1" si="189">L289+L290</f>
        <v>0</v>
      </c>
      <c r="M288" s="47">
        <f t="shared" ca="1" si="189"/>
        <v>0</v>
      </c>
      <c r="N288" s="47">
        <f t="shared" ca="1" si="189"/>
        <v>0</v>
      </c>
      <c r="O288" s="47">
        <f t="shared" ca="1" si="180"/>
        <v>0</v>
      </c>
      <c r="P288" s="47">
        <f t="shared" ca="1" si="181"/>
        <v>0</v>
      </c>
      <c r="Q288" s="47">
        <f t="shared" ref="Q288:S288" si="190">Q289+Q290</f>
        <v>0</v>
      </c>
      <c r="R288" s="47">
        <f t="shared" si="190"/>
        <v>0</v>
      </c>
      <c r="S288" s="47">
        <f t="shared" si="190"/>
        <v>0</v>
      </c>
      <c r="T288" s="47">
        <f t="shared" si="183"/>
        <v>0</v>
      </c>
      <c r="U288" s="47">
        <f t="shared" si="184"/>
        <v>0</v>
      </c>
    </row>
    <row r="289" spans="1:21" ht="18.75" hidden="1" x14ac:dyDescent="0.25">
      <c r="A289" s="129"/>
      <c r="B289" s="200"/>
      <c r="C289" s="200"/>
      <c r="D289" s="200"/>
      <c r="E289" s="158" t="s">
        <v>20</v>
      </c>
      <c r="F289" s="200"/>
      <c r="G289" s="43"/>
      <c r="H289" s="161" t="s">
        <v>14</v>
      </c>
      <c r="I289" s="136"/>
      <c r="J289" s="136"/>
      <c r="K289" s="137"/>
      <c r="L289" s="590">
        <v>0</v>
      </c>
      <c r="M289" s="49">
        <v>0</v>
      </c>
      <c r="N289" s="49">
        <v>0</v>
      </c>
      <c r="O289" s="49">
        <f t="shared" si="180"/>
        <v>0</v>
      </c>
      <c r="P289" s="49">
        <f t="shared" si="181"/>
        <v>0</v>
      </c>
      <c r="Q289" s="49">
        <v>0</v>
      </c>
      <c r="R289" s="49">
        <v>0</v>
      </c>
      <c r="S289" s="49">
        <v>0</v>
      </c>
      <c r="T289" s="49">
        <f t="shared" si="183"/>
        <v>0</v>
      </c>
      <c r="U289" s="49">
        <f t="shared" si="184"/>
        <v>0</v>
      </c>
    </row>
    <row r="290" spans="1:21" ht="18.75" hidden="1" x14ac:dyDescent="0.25">
      <c r="A290" s="129"/>
      <c r="B290" s="200"/>
      <c r="C290" s="200"/>
      <c r="D290" s="200"/>
      <c r="E290" s="271" t="s">
        <v>21</v>
      </c>
      <c r="F290" s="200"/>
      <c r="G290" s="43"/>
      <c r="H290" s="138" t="s">
        <v>14</v>
      </c>
      <c r="I290" s="136"/>
      <c r="J290" s="136"/>
      <c r="K290" s="137"/>
      <c r="L290" s="588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t="shared" ca="1" si="180"/>
        <v>0</v>
      </c>
      <c r="P290" s="47">
        <f t="shared" ca="1" si="181"/>
        <v>0</v>
      </c>
      <c r="Q290" s="47">
        <v>0</v>
      </c>
      <c r="R290" s="47">
        <v>0</v>
      </c>
      <c r="S290" s="47">
        <v>0</v>
      </c>
      <c r="T290" s="47">
        <f t="shared" si="183"/>
        <v>0</v>
      </c>
      <c r="U290" s="47">
        <f t="shared" si="184"/>
        <v>0</v>
      </c>
    </row>
    <row r="291" spans="1:21" ht="19.5" hidden="1" x14ac:dyDescent="0.3">
      <c r="A291" s="139"/>
      <c r="B291" s="140"/>
      <c r="C291" s="199" t="s">
        <v>18</v>
      </c>
      <c r="D291" s="618" t="s">
        <v>38</v>
      </c>
      <c r="E291" s="142"/>
      <c r="F291" s="142"/>
      <c r="G291" s="143"/>
      <c r="H291" s="144"/>
      <c r="I291" s="136"/>
      <c r="J291" s="136"/>
      <c r="K291" s="137"/>
      <c r="L291" s="619"/>
      <c r="M291" s="137"/>
      <c r="N291" s="137"/>
      <c r="O291" s="137"/>
      <c r="P291" s="137"/>
      <c r="Q291" s="137"/>
      <c r="R291" s="137"/>
      <c r="S291" s="137"/>
      <c r="T291" s="137"/>
      <c r="U291" s="137"/>
    </row>
    <row r="292" spans="1:21" ht="18.75" hidden="1" x14ac:dyDescent="0.25">
      <c r="A292" s="139"/>
      <c r="B292" s="140"/>
      <c r="C292" s="140"/>
      <c r="D292" s="303" t="s">
        <v>120</v>
      </c>
      <c r="E292" s="140"/>
      <c r="F292" s="170"/>
      <c r="G292" s="144"/>
      <c r="H292" s="155" t="s">
        <v>46</v>
      </c>
      <c r="I292" s="372">
        <f ca="1">IFERROR(__xludf.DUMMYFUNCTION("IMPORTRANGE(""https://docs.google.com/spreadsheets/d/1eHaY18a8A9IcSdp1K8H6x8fbOy06t2VsZHhMHf-1x7Y/edit?usp=sharing"",""แผน!EE82"")"),0)</f>
        <v>0</v>
      </c>
      <c r="J292" s="169">
        <v>0</v>
      </c>
      <c r="K292" s="154">
        <f t="shared" ref="K292:K293" ca="1" si="191">IF(I292&gt;0,J292*100/I292,0)</f>
        <v>0</v>
      </c>
      <c r="L292" s="619"/>
      <c r="M292" s="137"/>
      <c r="N292" s="137"/>
      <c r="O292" s="137"/>
      <c r="P292" s="137"/>
      <c r="Q292" s="137"/>
      <c r="R292" s="137"/>
      <c r="S292" s="137"/>
      <c r="T292" s="137"/>
      <c r="U292" s="137"/>
    </row>
    <row r="293" spans="1:21" ht="19.5" hidden="1" x14ac:dyDescent="0.3">
      <c r="A293" s="139"/>
      <c r="B293" s="140"/>
      <c r="C293" s="140"/>
      <c r="D293" s="303" t="s">
        <v>121</v>
      </c>
      <c r="E293" s="140"/>
      <c r="F293" s="170"/>
      <c r="G293" s="144"/>
      <c r="H293" s="147" t="s">
        <v>35</v>
      </c>
      <c r="I293" s="371">
        <f ca="1">IFERROR(__xludf.DUMMYFUNCTION("IMPORTRANGE(""https://docs.google.com/spreadsheets/d/1eHaY18a8A9IcSdp1K8H6x8fbOy06t2VsZHhMHf-1x7Y/edit?usp=sharing"",""แผน!ED82"")"),0)</f>
        <v>0</v>
      </c>
      <c r="J293" s="371">
        <f>J296</f>
        <v>0</v>
      </c>
      <c r="K293" s="149">
        <f t="shared" ca="1" si="191"/>
        <v>0</v>
      </c>
      <c r="L293" s="619"/>
      <c r="M293" s="137"/>
      <c r="N293" s="137"/>
      <c r="O293" s="137"/>
      <c r="P293" s="137"/>
      <c r="Q293" s="137"/>
      <c r="R293" s="137"/>
      <c r="S293" s="137"/>
      <c r="T293" s="137"/>
      <c r="U293" s="137"/>
    </row>
    <row r="294" spans="1:21" ht="19.5" hidden="1" x14ac:dyDescent="0.3">
      <c r="A294" s="139"/>
      <c r="B294" s="140"/>
      <c r="C294" s="140"/>
      <c r="D294" s="170"/>
      <c r="E294" s="302" t="s">
        <v>122</v>
      </c>
      <c r="F294" s="170"/>
      <c r="G294" s="144"/>
      <c r="H294" s="144"/>
      <c r="I294" s="136"/>
      <c r="J294" s="45"/>
      <c r="K294" s="137"/>
      <c r="L294" s="619"/>
      <c r="M294" s="137"/>
      <c r="N294" s="137"/>
      <c r="O294" s="137"/>
      <c r="P294" s="137"/>
      <c r="Q294" s="137"/>
      <c r="R294" s="137"/>
      <c r="S294" s="137"/>
      <c r="T294" s="137"/>
      <c r="U294" s="137"/>
    </row>
    <row r="295" spans="1:21" ht="19.5" hidden="1" x14ac:dyDescent="0.3">
      <c r="A295" s="139"/>
      <c r="B295" s="140"/>
      <c r="C295" s="140"/>
      <c r="D295" s="170"/>
      <c r="E295" s="303" t="s">
        <v>123</v>
      </c>
      <c r="F295" s="170"/>
      <c r="G295" s="144"/>
      <c r="H295" s="248" t="s">
        <v>35</v>
      </c>
      <c r="I295" s="152">
        <f ca="1">IFERROR(__xludf.DUMMYFUNCTION("IMPORTRANGE(""https://docs.google.com/spreadsheets/d/1eHaY18a8A9IcSdp1K8H6x8fbOy06t2VsZHhMHf-1x7Y/edit?usp=sharing"",""แผน!ED82"")"),0)</f>
        <v>0</v>
      </c>
      <c r="J295" s="169">
        <v>0</v>
      </c>
      <c r="K295" s="154">
        <f t="shared" ref="K295:K296" ca="1" si="192">IF(I295&gt;0,J295*100/I295,0)</f>
        <v>0</v>
      </c>
      <c r="L295" s="619"/>
      <c r="M295" s="137"/>
      <c r="N295" s="137"/>
      <c r="O295" s="137"/>
      <c r="P295" s="137"/>
      <c r="Q295" s="137"/>
      <c r="R295" s="137"/>
      <c r="S295" s="137"/>
      <c r="T295" s="137"/>
      <c r="U295" s="137"/>
    </row>
    <row r="296" spans="1:21" ht="19.5" hidden="1" x14ac:dyDescent="0.3">
      <c r="A296" s="139"/>
      <c r="B296" s="140"/>
      <c r="C296" s="140"/>
      <c r="D296" s="170"/>
      <c r="E296" s="303" t="s">
        <v>124</v>
      </c>
      <c r="F296" s="170"/>
      <c r="G296" s="144"/>
      <c r="H296" s="248" t="s">
        <v>35</v>
      </c>
      <c r="I296" s="152">
        <f ca="1">IFERROR(__xludf.DUMMYFUNCTION("IMPORTRANGE(""https://docs.google.com/spreadsheets/d/1eHaY18a8A9IcSdp1K8H6x8fbOy06t2VsZHhMHf-1x7Y/edit?usp=sharing"",""แผน!ED82"")"),0)</f>
        <v>0</v>
      </c>
      <c r="J296" s="169">
        <v>0</v>
      </c>
      <c r="K296" s="154">
        <f t="shared" ca="1" si="192"/>
        <v>0</v>
      </c>
      <c r="L296" s="619"/>
      <c r="M296" s="137"/>
      <c r="N296" s="137"/>
      <c r="O296" s="137"/>
      <c r="P296" s="137"/>
      <c r="Q296" s="137"/>
      <c r="R296" s="137"/>
      <c r="S296" s="137"/>
      <c r="T296" s="137"/>
      <c r="U296" s="137"/>
    </row>
    <row r="297" spans="1:21" ht="12.75" hidden="1" x14ac:dyDescent="0.2">
      <c r="A297" s="164"/>
      <c r="B297" s="165"/>
      <c r="C297" s="165"/>
      <c r="D297" s="19"/>
      <c r="E297" s="19"/>
      <c r="F297" s="19"/>
      <c r="G297" s="20"/>
      <c r="H297" s="20"/>
      <c r="I297" s="21"/>
      <c r="J297" s="21"/>
      <c r="K297" s="22"/>
      <c r="L297" s="58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4"/>
      <c r="B298" s="165"/>
      <c r="C298" s="165"/>
      <c r="D298" s="19"/>
      <c r="E298" s="19"/>
      <c r="F298" s="19"/>
      <c r="G298" s="20"/>
      <c r="H298" s="20"/>
      <c r="I298" s="21"/>
      <c r="J298" s="21"/>
      <c r="K298" s="22"/>
      <c r="L298" s="58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704"/>
      <c r="B299" s="705"/>
      <c r="C299" s="705"/>
      <c r="D299" s="23"/>
      <c r="E299" s="23"/>
      <c r="F299" s="23"/>
      <c r="G299" s="15"/>
      <c r="H299" s="15"/>
      <c r="I299" s="16"/>
      <c r="J299" s="16"/>
      <c r="K299" s="17"/>
      <c r="L299" s="57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706" t="s">
        <v>309</v>
      </c>
      <c r="B300" s="305"/>
      <c r="C300" s="305"/>
      <c r="D300" s="305"/>
      <c r="E300" s="306"/>
      <c r="F300" s="306"/>
      <c r="G300" s="306"/>
      <c r="H300" s="306"/>
      <c r="I300" s="307"/>
      <c r="J300" s="307"/>
      <c r="K300" s="308"/>
      <c r="L300" s="308"/>
      <c r="M300" s="308"/>
      <c r="N300" s="308"/>
      <c r="O300" s="308"/>
      <c r="P300" s="309"/>
      <c r="Q300" s="308"/>
      <c r="R300" s="308"/>
      <c r="S300" s="308"/>
      <c r="T300" s="308"/>
      <c r="U300" s="309"/>
    </row>
    <row r="301" spans="1:21" ht="19.5" x14ac:dyDescent="0.3">
      <c r="A301" s="310" t="s">
        <v>129</v>
      </c>
      <c r="B301" s="311"/>
      <c r="C301" s="311"/>
      <c r="D301" s="312"/>
      <c r="E301" s="312"/>
      <c r="F301" s="312"/>
      <c r="G301" s="313"/>
      <c r="H301" s="313"/>
      <c r="I301" s="314"/>
      <c r="J301" s="314"/>
      <c r="K301" s="315"/>
      <c r="L301" s="707"/>
      <c r="M301" s="315"/>
      <c r="N301" s="315"/>
      <c r="O301" s="315"/>
      <c r="P301" s="315"/>
      <c r="Q301" s="315"/>
      <c r="R301" s="315"/>
      <c r="S301" s="315"/>
      <c r="T301" s="315"/>
      <c r="U301" s="315"/>
    </row>
    <row r="302" spans="1:21" ht="19.5" x14ac:dyDescent="0.3">
      <c r="A302" s="316"/>
      <c r="B302" s="317" t="s">
        <v>130</v>
      </c>
      <c r="C302" s="318"/>
      <c r="D302" s="318"/>
      <c r="E302" s="318"/>
      <c r="F302" s="318"/>
      <c r="G302" s="319"/>
      <c r="H302" s="320" t="s">
        <v>35</v>
      </c>
      <c r="I302" s="321">
        <f t="shared" ref="I302:J302" ca="1" si="193">I314</f>
        <v>15</v>
      </c>
      <c r="J302" s="321">
        <f t="shared" si="193"/>
        <v>15</v>
      </c>
      <c r="K302" s="322">
        <f ca="1">IF(I302&gt;0,J302*100/I302,0)</f>
        <v>100</v>
      </c>
      <c r="L302" s="708"/>
      <c r="M302" s="323"/>
      <c r="N302" s="323"/>
      <c r="O302" s="323"/>
      <c r="P302" s="323"/>
      <c r="Q302" s="323"/>
      <c r="R302" s="323"/>
      <c r="S302" s="323"/>
      <c r="T302" s="323"/>
      <c r="U302" s="323"/>
    </row>
    <row r="303" spans="1:21" ht="19.5" x14ac:dyDescent="0.3">
      <c r="A303" s="129"/>
      <c r="B303" s="200"/>
      <c r="C303" s="409" t="s">
        <v>18</v>
      </c>
      <c r="D303" s="616" t="s">
        <v>19</v>
      </c>
      <c r="E303" s="200"/>
      <c r="F303" s="200"/>
      <c r="G303" s="43"/>
      <c r="H303" s="132" t="s">
        <v>14</v>
      </c>
      <c r="I303" s="45"/>
      <c r="J303" s="45"/>
      <c r="K303" s="46"/>
      <c r="L303" s="617">
        <f t="shared" ref="L303:N303" ca="1" si="194">L304+L305</f>
        <v>162475</v>
      </c>
      <c r="M303" s="133">
        <f t="shared" ca="1" si="194"/>
        <v>162475</v>
      </c>
      <c r="N303" s="133">
        <f t="shared" ca="1" si="194"/>
        <v>151777.85</v>
      </c>
      <c r="O303" s="133">
        <f t="shared" ref="O303:O311" ca="1" si="195">IF(L303&gt;0,N303*100/L303,0)</f>
        <v>93.416125557778116</v>
      </c>
      <c r="P303" s="133">
        <f t="shared" ref="P303:P311" ca="1" si="196">IF(M303&gt;0,N303*100/M303,0)</f>
        <v>93.416125557778116</v>
      </c>
      <c r="Q303" s="133">
        <f t="shared" ref="Q303:S303" ca="1" si="197">Q304+Q305</f>
        <v>123161.24</v>
      </c>
      <c r="R303" s="133">
        <f t="shared" ca="1" si="197"/>
        <v>146455</v>
      </c>
      <c r="S303" s="133">
        <f t="shared" ca="1" si="197"/>
        <v>118855</v>
      </c>
      <c r="T303" s="133">
        <f t="shared" ref="T303:T311" ca="1" si="198">IF(Q303&gt;0,S303*100/Q303,0)</f>
        <v>96.503575313142349</v>
      </c>
      <c r="U303" s="133">
        <f t="shared" ref="U303:U311" ca="1" si="199">IF(R303&gt;0,S303*100/R303,0)</f>
        <v>81.154620873305788</v>
      </c>
    </row>
    <row r="304" spans="1:21" ht="18.75" hidden="1" x14ac:dyDescent="0.25">
      <c r="A304" s="129"/>
      <c r="B304" s="200"/>
      <c r="C304" s="200"/>
      <c r="D304" s="200"/>
      <c r="E304" s="158" t="s">
        <v>20</v>
      </c>
      <c r="F304" s="200"/>
      <c r="G304" s="43"/>
      <c r="H304" s="159" t="s">
        <v>14</v>
      </c>
      <c r="I304" s="45"/>
      <c r="J304" s="45"/>
      <c r="K304" s="46"/>
      <c r="L304" s="590">
        <f t="shared" ref="L304:N305" si="200">L307+L310</f>
        <v>0</v>
      </c>
      <c r="M304" s="49">
        <f t="shared" si="200"/>
        <v>0</v>
      </c>
      <c r="N304" s="49">
        <f t="shared" si="200"/>
        <v>0</v>
      </c>
      <c r="O304" s="49">
        <f t="shared" si="195"/>
        <v>0</v>
      </c>
      <c r="P304" s="49">
        <f t="shared" si="196"/>
        <v>0</v>
      </c>
      <c r="Q304" s="49">
        <f t="shared" ref="Q304:S305" si="201">Q307+Q310</f>
        <v>0</v>
      </c>
      <c r="R304" s="49">
        <f t="shared" si="201"/>
        <v>0</v>
      </c>
      <c r="S304" s="49">
        <f t="shared" si="201"/>
        <v>0</v>
      </c>
      <c r="T304" s="49">
        <f t="shared" si="198"/>
        <v>0</v>
      </c>
      <c r="U304" s="49">
        <f t="shared" si="199"/>
        <v>0</v>
      </c>
    </row>
    <row r="305" spans="1:21" ht="18.75" hidden="1" x14ac:dyDescent="0.25">
      <c r="A305" s="129"/>
      <c r="B305" s="200"/>
      <c r="C305" s="200"/>
      <c r="D305" s="200"/>
      <c r="E305" s="271" t="s">
        <v>21</v>
      </c>
      <c r="F305" s="200"/>
      <c r="G305" s="43"/>
      <c r="H305" s="134" t="s">
        <v>14</v>
      </c>
      <c r="I305" s="45"/>
      <c r="J305" s="45"/>
      <c r="K305" s="46"/>
      <c r="L305" s="588">
        <f t="shared" ca="1" si="200"/>
        <v>162475</v>
      </c>
      <c r="M305" s="47">
        <f t="shared" ca="1" si="200"/>
        <v>162475</v>
      </c>
      <c r="N305" s="47">
        <f t="shared" ca="1" si="200"/>
        <v>151777.85</v>
      </c>
      <c r="O305" s="47">
        <f t="shared" ca="1" si="195"/>
        <v>93.416125557778116</v>
      </c>
      <c r="P305" s="47">
        <f t="shared" ca="1" si="196"/>
        <v>93.416125557778116</v>
      </c>
      <c r="Q305" s="47">
        <f t="shared" ca="1" si="201"/>
        <v>123161.24</v>
      </c>
      <c r="R305" s="47">
        <f t="shared" ca="1" si="201"/>
        <v>146455</v>
      </c>
      <c r="S305" s="47">
        <f t="shared" ca="1" si="201"/>
        <v>118855</v>
      </c>
      <c r="T305" s="47">
        <f t="shared" ca="1" si="198"/>
        <v>96.503575313142349</v>
      </c>
      <c r="U305" s="47">
        <f t="shared" ca="1" si="199"/>
        <v>81.154620873305788</v>
      </c>
    </row>
    <row r="306" spans="1:21" ht="18.75" x14ac:dyDescent="0.25">
      <c r="A306" s="129"/>
      <c r="B306" s="200"/>
      <c r="C306" s="200"/>
      <c r="D306" s="42" t="s">
        <v>22</v>
      </c>
      <c r="E306" s="200"/>
      <c r="F306" s="200"/>
      <c r="G306" s="43"/>
      <c r="H306" s="135" t="s">
        <v>14</v>
      </c>
      <c r="I306" s="136"/>
      <c r="J306" s="136"/>
      <c r="K306" s="137"/>
      <c r="L306" s="588">
        <f t="shared" ref="L306:N306" ca="1" si="202">L307+L308</f>
        <v>162475</v>
      </c>
      <c r="M306" s="47">
        <f t="shared" ca="1" si="202"/>
        <v>162475</v>
      </c>
      <c r="N306" s="47">
        <f t="shared" ca="1" si="202"/>
        <v>151777.85</v>
      </c>
      <c r="O306" s="47">
        <f t="shared" ca="1" si="195"/>
        <v>93.416125557778116</v>
      </c>
      <c r="P306" s="47">
        <f t="shared" ca="1" si="196"/>
        <v>93.416125557778116</v>
      </c>
      <c r="Q306" s="47">
        <f t="shared" ref="Q306:S306" ca="1" si="203">Q307+Q308</f>
        <v>123161.24</v>
      </c>
      <c r="R306" s="47">
        <f t="shared" ca="1" si="203"/>
        <v>146455</v>
      </c>
      <c r="S306" s="47">
        <f t="shared" ca="1" si="203"/>
        <v>118855</v>
      </c>
      <c r="T306" s="47">
        <f t="shared" ca="1" si="198"/>
        <v>96.503575313142349</v>
      </c>
      <c r="U306" s="47">
        <f t="shared" ca="1" si="199"/>
        <v>81.154620873305788</v>
      </c>
    </row>
    <row r="307" spans="1:21" ht="18.75" hidden="1" x14ac:dyDescent="0.25">
      <c r="A307" s="129"/>
      <c r="B307" s="200"/>
      <c r="C307" s="200"/>
      <c r="D307" s="200"/>
      <c r="E307" s="158" t="s">
        <v>36</v>
      </c>
      <c r="F307" s="200"/>
      <c r="G307" s="43"/>
      <c r="H307" s="161" t="s">
        <v>14</v>
      </c>
      <c r="I307" s="136"/>
      <c r="J307" s="136"/>
      <c r="K307" s="137"/>
      <c r="L307" s="590">
        <v>0</v>
      </c>
      <c r="M307" s="49">
        <v>0</v>
      </c>
      <c r="N307" s="49">
        <v>0</v>
      </c>
      <c r="O307" s="49">
        <f t="shared" si="195"/>
        <v>0</v>
      </c>
      <c r="P307" s="49">
        <f t="shared" si="196"/>
        <v>0</v>
      </c>
      <c r="Q307" s="49">
        <v>0</v>
      </c>
      <c r="R307" s="49">
        <v>0</v>
      </c>
      <c r="S307" s="49">
        <v>0</v>
      </c>
      <c r="T307" s="49">
        <f t="shared" si="198"/>
        <v>0</v>
      </c>
      <c r="U307" s="49">
        <f t="shared" si="199"/>
        <v>0</v>
      </c>
    </row>
    <row r="308" spans="1:21" ht="18.75" hidden="1" x14ac:dyDescent="0.25">
      <c r="A308" s="129"/>
      <c r="B308" s="200"/>
      <c r="C308" s="200"/>
      <c r="D308" s="200"/>
      <c r="E308" s="271" t="s">
        <v>37</v>
      </c>
      <c r="F308" s="200"/>
      <c r="G308" s="43"/>
      <c r="H308" s="135" t="s">
        <v>14</v>
      </c>
      <c r="I308" s="136"/>
      <c r="J308" s="136"/>
      <c r="K308" s="137"/>
      <c r="L308" s="588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IFERROR(__xludf.DUMMYFUNCTION("IMPORTRANGE(""https://docs.google.com/spreadsheets/d/1-uDff_7J0KD5mKrp0Vvzr7lt3OU09vwQwhkpOPPYv2Y/edit?usp=sharing"",""งบพรบ!ED82"")"),162475)</f>
        <v>162475</v>
      </c>
      <c r="N308" s="47">
        <f ca="1">IFERROR(__xludf.DUMMYFUNCTION("IMPORTRANGE(""https://docs.google.com/spreadsheets/d/1-uDff_7J0KD5mKrp0Vvzr7lt3OU09vwQwhkpOPPYv2Y/edit?usp=sharing"",""งบพรบ!EF82"")"),151777.85)</f>
        <v>151777.85</v>
      </c>
      <c r="O308" s="47">
        <f t="shared" ca="1" si="195"/>
        <v>93.416125557778116</v>
      </c>
      <c r="P308" s="47">
        <f t="shared" ca="1" si="196"/>
        <v>93.416125557778116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IFERROR(__xludf.DUMMYFUNCTION("IMPORTRANGE(""https://docs.google.com/spreadsheets/d/1ItG2mGa2ceCfYo0BwxsXqNm01IGEUdYcSSLTEv9YCik/edit?usp=sharing"",""เบิกจ่ายกองทุน!BC82"")"),146455)</f>
        <v>146455</v>
      </c>
      <c r="S308" s="47">
        <f ca="1">IFERROR(__xludf.DUMMYFUNCTION("IMPORTRANGE(""https://docs.google.com/spreadsheets/d/1ItG2mGa2ceCfYo0BwxsXqNm01IGEUdYcSSLTEv9YCik/edit?usp=sharing"",""เบิกจ่ายกองทุน!BD82"")"),118855)</f>
        <v>118855</v>
      </c>
      <c r="T308" s="47">
        <f t="shared" ca="1" si="198"/>
        <v>96.503575313142349</v>
      </c>
      <c r="U308" s="47">
        <f t="shared" ca="1" si="199"/>
        <v>81.154620873305788</v>
      </c>
    </row>
    <row r="309" spans="1:21" ht="18.75" x14ac:dyDescent="0.25">
      <c r="A309" s="129"/>
      <c r="B309" s="200"/>
      <c r="C309" s="200"/>
      <c r="D309" s="42" t="s">
        <v>23</v>
      </c>
      <c r="E309" s="200"/>
      <c r="F309" s="200"/>
      <c r="G309" s="43"/>
      <c r="H309" s="138" t="s">
        <v>14</v>
      </c>
      <c r="I309" s="136"/>
      <c r="J309" s="136"/>
      <c r="K309" s="137"/>
      <c r="L309" s="588">
        <f t="shared" ref="L309:N309" ca="1" si="204">L310+L311</f>
        <v>0</v>
      </c>
      <c r="M309" s="47">
        <f t="shared" ca="1" si="204"/>
        <v>0</v>
      </c>
      <c r="N309" s="47">
        <f t="shared" ca="1" si="204"/>
        <v>0</v>
      </c>
      <c r="O309" s="47">
        <f t="shared" ca="1" si="195"/>
        <v>0</v>
      </c>
      <c r="P309" s="47">
        <f t="shared" ca="1" si="196"/>
        <v>0</v>
      </c>
      <c r="Q309" s="47">
        <f t="shared" ref="Q309:S309" si="205">Q310+Q311</f>
        <v>0</v>
      </c>
      <c r="R309" s="47">
        <f t="shared" si="205"/>
        <v>0</v>
      </c>
      <c r="S309" s="47">
        <f t="shared" si="205"/>
        <v>0</v>
      </c>
      <c r="T309" s="47">
        <f t="shared" si="198"/>
        <v>0</v>
      </c>
      <c r="U309" s="47">
        <f t="shared" si="199"/>
        <v>0</v>
      </c>
    </row>
    <row r="310" spans="1:21" ht="18.75" hidden="1" x14ac:dyDescent="0.25">
      <c r="A310" s="129"/>
      <c r="B310" s="200"/>
      <c r="C310" s="200"/>
      <c r="D310" s="200"/>
      <c r="E310" s="158" t="s">
        <v>20</v>
      </c>
      <c r="F310" s="200"/>
      <c r="G310" s="43"/>
      <c r="H310" s="161" t="s">
        <v>14</v>
      </c>
      <c r="I310" s="136"/>
      <c r="J310" s="136"/>
      <c r="K310" s="137"/>
      <c r="L310" s="590">
        <v>0</v>
      </c>
      <c r="M310" s="49">
        <v>0</v>
      </c>
      <c r="N310" s="49">
        <v>0</v>
      </c>
      <c r="O310" s="49">
        <f t="shared" si="195"/>
        <v>0</v>
      </c>
      <c r="P310" s="49">
        <f t="shared" si="196"/>
        <v>0</v>
      </c>
      <c r="Q310" s="49">
        <v>0</v>
      </c>
      <c r="R310" s="49">
        <v>0</v>
      </c>
      <c r="S310" s="49">
        <v>0</v>
      </c>
      <c r="T310" s="49">
        <f t="shared" si="198"/>
        <v>0</v>
      </c>
      <c r="U310" s="49">
        <f t="shared" si="199"/>
        <v>0</v>
      </c>
    </row>
    <row r="311" spans="1:21" ht="18.75" hidden="1" x14ac:dyDescent="0.25">
      <c r="A311" s="129"/>
      <c r="B311" s="200"/>
      <c r="C311" s="200"/>
      <c r="D311" s="200"/>
      <c r="E311" s="271" t="s">
        <v>21</v>
      </c>
      <c r="F311" s="200"/>
      <c r="G311" s="43"/>
      <c r="H311" s="138" t="s">
        <v>14</v>
      </c>
      <c r="I311" s="136"/>
      <c r="J311" s="136"/>
      <c r="K311" s="137"/>
      <c r="L311" s="588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t="shared" ca="1" si="195"/>
        <v>0</v>
      </c>
      <c r="P311" s="47">
        <f t="shared" ca="1" si="196"/>
        <v>0</v>
      </c>
      <c r="Q311" s="47">
        <v>0</v>
      </c>
      <c r="R311" s="47">
        <v>0</v>
      </c>
      <c r="S311" s="47">
        <v>0</v>
      </c>
      <c r="T311" s="47">
        <f t="shared" si="198"/>
        <v>0</v>
      </c>
      <c r="U311" s="47">
        <f t="shared" si="199"/>
        <v>0</v>
      </c>
    </row>
    <row r="312" spans="1:21" ht="19.5" x14ac:dyDescent="0.3">
      <c r="A312" s="139"/>
      <c r="B312" s="140"/>
      <c r="C312" s="409" t="s">
        <v>18</v>
      </c>
      <c r="D312" s="618" t="s">
        <v>38</v>
      </c>
      <c r="E312" s="142"/>
      <c r="F312" s="142"/>
      <c r="G312" s="143"/>
      <c r="H312" s="144"/>
      <c r="I312" s="45"/>
      <c r="J312" s="45"/>
      <c r="K312" s="46"/>
      <c r="L312" s="591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4"/>
      <c r="B313" s="165"/>
      <c r="C313" s="165"/>
      <c r="D313" s="709"/>
      <c r="E313" s="19"/>
      <c r="F313" s="19"/>
      <c r="G313" s="20"/>
      <c r="H313" s="20"/>
      <c r="I313" s="21"/>
      <c r="J313" s="710"/>
      <c r="K313" s="22"/>
      <c r="L313" s="58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9"/>
      <c r="B314" s="140"/>
      <c r="C314" s="140"/>
      <c r="D314" s="303" t="s">
        <v>121</v>
      </c>
      <c r="E314" s="170"/>
      <c r="F314" s="170"/>
      <c r="G314" s="144"/>
      <c r="H314" s="248" t="s">
        <v>35</v>
      </c>
      <c r="I314" s="372">
        <f ca="1">IFERROR(__xludf.DUMMYFUNCTION("IMPORTRANGE(""https://docs.google.com/spreadsheets/d/1eHaY18a8A9IcSdp1K8H6x8fbOy06t2VsZHhMHf-1x7Y/edit?usp=sharing"",""แผน!EF82"")"),15)</f>
        <v>15</v>
      </c>
      <c r="J314" s="169">
        <v>15</v>
      </c>
      <c r="K314" s="47">
        <f ca="1">IF(I314&gt;0,J314*100/I314,0)</f>
        <v>100</v>
      </c>
      <c r="L314" s="591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4"/>
      <c r="B315" s="165"/>
      <c r="C315" s="165"/>
      <c r="D315" s="709"/>
      <c r="E315" s="19"/>
      <c r="F315" s="19"/>
      <c r="G315" s="20"/>
      <c r="H315" s="711"/>
      <c r="I315" s="710"/>
      <c r="J315" s="710"/>
      <c r="K315" s="712"/>
      <c r="L315" s="58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4"/>
      <c r="B316" s="165"/>
      <c r="C316" s="165"/>
      <c r="D316" s="709"/>
      <c r="E316" s="19"/>
      <c r="F316" s="19"/>
      <c r="G316" s="20"/>
      <c r="H316" s="711"/>
      <c r="I316" s="710"/>
      <c r="J316" s="710"/>
      <c r="K316" s="712"/>
      <c r="L316" s="58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4"/>
      <c r="B317" s="165"/>
      <c r="C317" s="165"/>
      <c r="D317" s="713"/>
      <c r="E317" s="19"/>
      <c r="F317" s="19"/>
      <c r="G317" s="20"/>
      <c r="H317" s="714"/>
      <c r="I317" s="715"/>
      <c r="J317" s="715"/>
      <c r="K317" s="716"/>
      <c r="L317" s="58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310" t="s">
        <v>134</v>
      </c>
      <c r="B318" s="311"/>
      <c r="C318" s="311"/>
      <c r="D318" s="312"/>
      <c r="E318" s="311"/>
      <c r="F318" s="311"/>
      <c r="G318" s="311"/>
      <c r="H318" s="312"/>
      <c r="I318" s="314"/>
      <c r="J318" s="314"/>
      <c r="K318" s="315"/>
      <c r="L318" s="707"/>
      <c r="M318" s="315"/>
      <c r="N318" s="315"/>
      <c r="O318" s="315"/>
      <c r="P318" s="315"/>
      <c r="Q318" s="315"/>
      <c r="R318" s="315"/>
      <c r="S318" s="315"/>
      <c r="T318" s="315"/>
      <c r="U318" s="315"/>
    </row>
    <row r="319" spans="1:21" ht="19.5" hidden="1" x14ac:dyDescent="0.3">
      <c r="A319" s="324"/>
      <c r="B319" s="317" t="s">
        <v>135</v>
      </c>
      <c r="C319" s="325"/>
      <c r="D319" s="326"/>
      <c r="E319" s="318"/>
      <c r="F319" s="318"/>
      <c r="G319" s="319"/>
      <c r="H319" s="320" t="s">
        <v>136</v>
      </c>
      <c r="I319" s="321">
        <f t="shared" ref="I319:J319" ca="1" si="206">I330</f>
        <v>0</v>
      </c>
      <c r="J319" s="321">
        <f t="shared" si="206"/>
        <v>0</v>
      </c>
      <c r="K319" s="322">
        <f ca="1">IF(I319&gt;0,J319*100/I319,0)</f>
        <v>0</v>
      </c>
      <c r="L319" s="708"/>
      <c r="M319" s="323"/>
      <c r="N319" s="323"/>
      <c r="O319" s="323"/>
      <c r="P319" s="323"/>
      <c r="Q319" s="323"/>
      <c r="R319" s="323"/>
      <c r="S319" s="323"/>
      <c r="T319" s="323"/>
      <c r="U319" s="323"/>
    </row>
    <row r="320" spans="1:21" ht="19.5" hidden="1" x14ac:dyDescent="0.3">
      <c r="A320" s="129"/>
      <c r="B320" s="200"/>
      <c r="C320" s="199" t="s">
        <v>18</v>
      </c>
      <c r="D320" s="616" t="s">
        <v>19</v>
      </c>
      <c r="E320" s="200"/>
      <c r="F320" s="200"/>
      <c r="G320" s="43"/>
      <c r="H320" s="132" t="s">
        <v>14</v>
      </c>
      <c r="I320" s="45"/>
      <c r="J320" s="45"/>
      <c r="K320" s="46"/>
      <c r="L320" s="617">
        <f t="shared" ref="L320:N320" ca="1" si="207">L321+L322</f>
        <v>0</v>
      </c>
      <c r="M320" s="133">
        <f t="shared" ca="1" si="207"/>
        <v>0</v>
      </c>
      <c r="N320" s="133">
        <f t="shared" ca="1" si="207"/>
        <v>0</v>
      </c>
      <c r="O320" s="133">
        <f t="shared" ref="O320:O328" ca="1" si="208">IF(L320&gt;0,N320*100/L320,0)</f>
        <v>0</v>
      </c>
      <c r="P320" s="133">
        <f t="shared" ref="P320:P328" ca="1" si="209">IF(M320&gt;0,N320*100/M320,0)</f>
        <v>0</v>
      </c>
      <c r="Q320" s="133">
        <f t="shared" ref="Q320:S320" si="210">Q321+Q322</f>
        <v>0</v>
      </c>
      <c r="R320" s="133">
        <f t="shared" si="210"/>
        <v>0</v>
      </c>
      <c r="S320" s="133">
        <f t="shared" si="210"/>
        <v>0</v>
      </c>
      <c r="T320" s="133">
        <f t="shared" ref="T320:T328" si="211">IF(Q320&gt;0,S320*100/Q320,0)</f>
        <v>0</v>
      </c>
      <c r="U320" s="133">
        <f t="shared" ref="U320:U328" si="212">IF(R320&gt;0,S320*100/R320,0)</f>
        <v>0</v>
      </c>
    </row>
    <row r="321" spans="1:21" ht="18.75" hidden="1" x14ac:dyDescent="0.25">
      <c r="A321" s="129"/>
      <c r="B321" s="200"/>
      <c r="C321" s="200"/>
      <c r="D321" s="200"/>
      <c r="E321" s="158" t="s">
        <v>20</v>
      </c>
      <c r="F321" s="200"/>
      <c r="G321" s="43"/>
      <c r="H321" s="159" t="s">
        <v>14</v>
      </c>
      <c r="I321" s="45"/>
      <c r="J321" s="45"/>
      <c r="K321" s="46"/>
      <c r="L321" s="590">
        <f t="shared" ref="L321:N322" si="213">L324+L327</f>
        <v>0</v>
      </c>
      <c r="M321" s="49">
        <f t="shared" si="213"/>
        <v>0</v>
      </c>
      <c r="N321" s="49">
        <f t="shared" si="213"/>
        <v>0</v>
      </c>
      <c r="O321" s="49">
        <f t="shared" si="208"/>
        <v>0</v>
      </c>
      <c r="P321" s="49">
        <f t="shared" si="209"/>
        <v>0</v>
      </c>
      <c r="Q321" s="49">
        <f t="shared" ref="Q321:S322" si="214">Q324+Q327</f>
        <v>0</v>
      </c>
      <c r="R321" s="49">
        <f t="shared" si="214"/>
        <v>0</v>
      </c>
      <c r="S321" s="49">
        <f t="shared" si="214"/>
        <v>0</v>
      </c>
      <c r="T321" s="49">
        <f t="shared" si="211"/>
        <v>0</v>
      </c>
      <c r="U321" s="49">
        <f t="shared" si="212"/>
        <v>0</v>
      </c>
    </row>
    <row r="322" spans="1:21" ht="18.75" hidden="1" x14ac:dyDescent="0.25">
      <c r="A322" s="129"/>
      <c r="B322" s="200"/>
      <c r="C322" s="200"/>
      <c r="D322" s="200"/>
      <c r="E322" s="271" t="s">
        <v>21</v>
      </c>
      <c r="F322" s="200"/>
      <c r="G322" s="43"/>
      <c r="H322" s="134" t="s">
        <v>14</v>
      </c>
      <c r="I322" s="45"/>
      <c r="J322" s="45"/>
      <c r="K322" s="46"/>
      <c r="L322" s="588">
        <f t="shared" ca="1" si="213"/>
        <v>0</v>
      </c>
      <c r="M322" s="47">
        <f t="shared" ca="1" si="213"/>
        <v>0</v>
      </c>
      <c r="N322" s="47">
        <f t="shared" ca="1" si="213"/>
        <v>0</v>
      </c>
      <c r="O322" s="47">
        <f t="shared" ca="1" si="208"/>
        <v>0</v>
      </c>
      <c r="P322" s="47">
        <f t="shared" ca="1" si="209"/>
        <v>0</v>
      </c>
      <c r="Q322" s="47">
        <f t="shared" si="214"/>
        <v>0</v>
      </c>
      <c r="R322" s="47">
        <f t="shared" si="214"/>
        <v>0</v>
      </c>
      <c r="S322" s="47">
        <f t="shared" si="214"/>
        <v>0</v>
      </c>
      <c r="T322" s="47">
        <f t="shared" si="211"/>
        <v>0</v>
      </c>
      <c r="U322" s="47">
        <f t="shared" si="212"/>
        <v>0</v>
      </c>
    </row>
    <row r="323" spans="1:21" ht="18.75" hidden="1" x14ac:dyDescent="0.25">
      <c r="A323" s="129"/>
      <c r="B323" s="200"/>
      <c r="C323" s="200"/>
      <c r="D323" s="42" t="s">
        <v>22</v>
      </c>
      <c r="E323" s="200"/>
      <c r="F323" s="200"/>
      <c r="G323" s="43"/>
      <c r="H323" s="135" t="s">
        <v>14</v>
      </c>
      <c r="I323" s="136"/>
      <c r="J323" s="136"/>
      <c r="K323" s="137"/>
      <c r="L323" s="588">
        <f t="shared" ref="L323:N323" ca="1" si="215">L324+L325</f>
        <v>0</v>
      </c>
      <c r="M323" s="47">
        <f t="shared" ca="1" si="215"/>
        <v>0</v>
      </c>
      <c r="N323" s="47">
        <f t="shared" ca="1" si="215"/>
        <v>0</v>
      </c>
      <c r="O323" s="47">
        <f t="shared" ca="1" si="208"/>
        <v>0</v>
      </c>
      <c r="P323" s="47">
        <f t="shared" ca="1" si="209"/>
        <v>0</v>
      </c>
      <c r="Q323" s="47">
        <f t="shared" ref="Q323:S323" si="216">Q324+Q325</f>
        <v>0</v>
      </c>
      <c r="R323" s="47">
        <f t="shared" si="216"/>
        <v>0</v>
      </c>
      <c r="S323" s="47">
        <f t="shared" si="216"/>
        <v>0</v>
      </c>
      <c r="T323" s="47">
        <f t="shared" si="211"/>
        <v>0</v>
      </c>
      <c r="U323" s="47">
        <f t="shared" si="212"/>
        <v>0</v>
      </c>
    </row>
    <row r="324" spans="1:21" ht="18.75" hidden="1" x14ac:dyDescent="0.25">
      <c r="A324" s="129"/>
      <c r="B324" s="200"/>
      <c r="C324" s="200"/>
      <c r="D324" s="200"/>
      <c r="E324" s="158" t="s">
        <v>36</v>
      </c>
      <c r="F324" s="200"/>
      <c r="G324" s="43"/>
      <c r="H324" s="161" t="s">
        <v>14</v>
      </c>
      <c r="I324" s="136"/>
      <c r="J324" s="136"/>
      <c r="K324" s="137"/>
      <c r="L324" s="590">
        <v>0</v>
      </c>
      <c r="M324" s="49">
        <v>0</v>
      </c>
      <c r="N324" s="49">
        <v>0</v>
      </c>
      <c r="O324" s="49">
        <f t="shared" si="208"/>
        <v>0</v>
      </c>
      <c r="P324" s="49">
        <f t="shared" si="209"/>
        <v>0</v>
      </c>
      <c r="Q324" s="49">
        <v>0</v>
      </c>
      <c r="R324" s="49">
        <v>0</v>
      </c>
      <c r="S324" s="49">
        <v>0</v>
      </c>
      <c r="T324" s="49">
        <f t="shared" si="211"/>
        <v>0</v>
      </c>
      <c r="U324" s="49">
        <f t="shared" si="212"/>
        <v>0</v>
      </c>
    </row>
    <row r="325" spans="1:21" ht="18.75" hidden="1" x14ac:dyDescent="0.25">
      <c r="A325" s="129"/>
      <c r="B325" s="200"/>
      <c r="C325" s="200"/>
      <c r="D325" s="200"/>
      <c r="E325" s="271" t="s">
        <v>37</v>
      </c>
      <c r="F325" s="200"/>
      <c r="G325" s="43"/>
      <c r="H325" s="135" t="s">
        <v>14</v>
      </c>
      <c r="I325" s="136"/>
      <c r="J325" s="136"/>
      <c r="K325" s="137"/>
      <c r="L325" s="588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t="shared" ca="1" si="208"/>
        <v>0</v>
      </c>
      <c r="P325" s="47">
        <f t="shared" ca="1" si="209"/>
        <v>0</v>
      </c>
      <c r="Q325" s="47">
        <v>0</v>
      </c>
      <c r="R325" s="47">
        <v>0</v>
      </c>
      <c r="S325" s="47">
        <v>0</v>
      </c>
      <c r="T325" s="47">
        <f t="shared" si="211"/>
        <v>0</v>
      </c>
      <c r="U325" s="47">
        <f t="shared" si="212"/>
        <v>0</v>
      </c>
    </row>
    <row r="326" spans="1:21" ht="18.75" hidden="1" x14ac:dyDescent="0.25">
      <c r="A326" s="129"/>
      <c r="B326" s="200"/>
      <c r="C326" s="200"/>
      <c r="D326" s="42" t="s">
        <v>23</v>
      </c>
      <c r="E326" s="200"/>
      <c r="F326" s="200"/>
      <c r="G326" s="43"/>
      <c r="H326" s="138" t="s">
        <v>14</v>
      </c>
      <c r="I326" s="136"/>
      <c r="J326" s="136"/>
      <c r="K326" s="137"/>
      <c r="L326" s="588">
        <f t="shared" ref="L326:N326" ca="1" si="217">L327+L328</f>
        <v>0</v>
      </c>
      <c r="M326" s="47">
        <f t="shared" ca="1" si="217"/>
        <v>0</v>
      </c>
      <c r="N326" s="47">
        <f t="shared" ca="1" si="217"/>
        <v>0</v>
      </c>
      <c r="O326" s="47">
        <f t="shared" ca="1" si="208"/>
        <v>0</v>
      </c>
      <c r="P326" s="47">
        <f t="shared" ca="1" si="209"/>
        <v>0</v>
      </c>
      <c r="Q326" s="47">
        <f t="shared" ref="Q326:S326" si="218">Q327+Q328</f>
        <v>0</v>
      </c>
      <c r="R326" s="47">
        <f t="shared" si="218"/>
        <v>0</v>
      </c>
      <c r="S326" s="47">
        <f t="shared" si="218"/>
        <v>0</v>
      </c>
      <c r="T326" s="47">
        <f t="shared" si="211"/>
        <v>0</v>
      </c>
      <c r="U326" s="47">
        <f t="shared" si="212"/>
        <v>0</v>
      </c>
    </row>
    <row r="327" spans="1:21" ht="18.75" hidden="1" x14ac:dyDescent="0.25">
      <c r="A327" s="129"/>
      <c r="B327" s="200"/>
      <c r="C327" s="200"/>
      <c r="D327" s="200"/>
      <c r="E327" s="158" t="s">
        <v>20</v>
      </c>
      <c r="F327" s="200"/>
      <c r="G327" s="43"/>
      <c r="H327" s="161" t="s">
        <v>14</v>
      </c>
      <c r="I327" s="136"/>
      <c r="J327" s="136"/>
      <c r="K327" s="137"/>
      <c r="L327" s="590">
        <v>0</v>
      </c>
      <c r="M327" s="49">
        <v>0</v>
      </c>
      <c r="N327" s="49">
        <v>0</v>
      </c>
      <c r="O327" s="49">
        <f t="shared" si="208"/>
        <v>0</v>
      </c>
      <c r="P327" s="49">
        <f t="shared" si="209"/>
        <v>0</v>
      </c>
      <c r="Q327" s="49">
        <v>0</v>
      </c>
      <c r="R327" s="49">
        <v>0</v>
      </c>
      <c r="S327" s="49">
        <v>0</v>
      </c>
      <c r="T327" s="49">
        <f t="shared" si="211"/>
        <v>0</v>
      </c>
      <c r="U327" s="49">
        <f t="shared" si="212"/>
        <v>0</v>
      </c>
    </row>
    <row r="328" spans="1:21" ht="18.75" hidden="1" x14ac:dyDescent="0.25">
      <c r="A328" s="129"/>
      <c r="B328" s="200"/>
      <c r="C328" s="200"/>
      <c r="D328" s="200"/>
      <c r="E328" s="271" t="s">
        <v>21</v>
      </c>
      <c r="F328" s="200"/>
      <c r="G328" s="43"/>
      <c r="H328" s="138" t="s">
        <v>14</v>
      </c>
      <c r="I328" s="136"/>
      <c r="J328" s="136"/>
      <c r="K328" s="137"/>
      <c r="L328" s="588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t="shared" ca="1" si="208"/>
        <v>0</v>
      </c>
      <c r="P328" s="47">
        <f t="shared" ca="1" si="209"/>
        <v>0</v>
      </c>
      <c r="Q328" s="47">
        <v>0</v>
      </c>
      <c r="R328" s="47">
        <v>0</v>
      </c>
      <c r="S328" s="47">
        <v>0</v>
      </c>
      <c r="T328" s="47">
        <f t="shared" si="211"/>
        <v>0</v>
      </c>
      <c r="U328" s="47">
        <f t="shared" si="212"/>
        <v>0</v>
      </c>
    </row>
    <row r="329" spans="1:21" ht="19.5" hidden="1" x14ac:dyDescent="0.3">
      <c r="A329" s="139"/>
      <c r="B329" s="140"/>
      <c r="C329" s="199" t="s">
        <v>18</v>
      </c>
      <c r="D329" s="618" t="s">
        <v>38</v>
      </c>
      <c r="E329" s="142"/>
      <c r="F329" s="142"/>
      <c r="G329" s="143"/>
      <c r="H329" s="144"/>
      <c r="I329" s="136"/>
      <c r="J329" s="45"/>
      <c r="K329" s="46"/>
      <c r="L329" s="591"/>
      <c r="M329" s="46"/>
      <c r="N329" s="46"/>
      <c r="O329" s="137"/>
      <c r="P329" s="137"/>
      <c r="Q329" s="46"/>
      <c r="R329" s="46"/>
      <c r="S329" s="46"/>
      <c r="T329" s="137"/>
      <c r="U329" s="137"/>
    </row>
    <row r="330" spans="1:21" ht="18.75" hidden="1" x14ac:dyDescent="0.25">
      <c r="A330" s="139"/>
      <c r="B330" s="140"/>
      <c r="C330" s="140"/>
      <c r="D330" s="145" t="s">
        <v>137</v>
      </c>
      <c r="E330" s="170"/>
      <c r="F330" s="170"/>
      <c r="G330" s="144"/>
      <c r="H330" s="44" t="s">
        <v>136</v>
      </c>
      <c r="I330" s="372">
        <f ca="1">IFERROR(__xludf.DUMMYFUNCTION("IMPORTRANGE(""https://docs.google.com/spreadsheets/d/1eHaY18a8A9IcSdp1K8H6x8fbOy06t2VsZHhMHf-1x7Y/edit?usp=sharing"",""แผน!EJ82"")"),0)</f>
        <v>0</v>
      </c>
      <c r="J330" s="169">
        <v>0</v>
      </c>
      <c r="K330" s="47">
        <f ca="1">IF(I330&gt;0,J330*100/I330,0)</f>
        <v>0</v>
      </c>
      <c r="L330" s="591"/>
      <c r="M330" s="46"/>
      <c r="N330" s="46"/>
      <c r="O330" s="137"/>
      <c r="P330" s="137"/>
      <c r="Q330" s="46"/>
      <c r="R330" s="46"/>
      <c r="S330" s="46"/>
      <c r="T330" s="137"/>
      <c r="U330" s="137"/>
    </row>
    <row r="331" spans="1:21" ht="19.5" x14ac:dyDescent="0.3">
      <c r="A331" s="310" t="s">
        <v>138</v>
      </c>
      <c r="B331" s="311"/>
      <c r="C331" s="311"/>
      <c r="D331" s="312"/>
      <c r="E331" s="311"/>
      <c r="F331" s="311"/>
      <c r="G331" s="311"/>
      <c r="H331" s="312"/>
      <c r="I331" s="314"/>
      <c r="J331" s="314"/>
      <c r="K331" s="315"/>
      <c r="L331" s="707"/>
      <c r="M331" s="315"/>
      <c r="N331" s="315"/>
      <c r="O331" s="315"/>
      <c r="P331" s="315"/>
      <c r="Q331" s="315"/>
      <c r="R331" s="315"/>
      <c r="S331" s="315"/>
      <c r="T331" s="315"/>
      <c r="U331" s="315"/>
    </row>
    <row r="332" spans="1:21" ht="19.5" x14ac:dyDescent="0.3">
      <c r="A332" s="316"/>
      <c r="B332" s="317" t="s">
        <v>139</v>
      </c>
      <c r="C332" s="326"/>
      <c r="D332" s="318"/>
      <c r="E332" s="318"/>
      <c r="F332" s="318"/>
      <c r="G332" s="319"/>
      <c r="H332" s="320" t="s">
        <v>35</v>
      </c>
      <c r="I332" s="717">
        <f ca="1">IFERROR(__xludf.DUMMYFUNCTION("IMPORTRANGE(""https://docs.google.com/spreadsheets/d/1eHaY18a8A9IcSdp1K8H6x8fbOy06t2VsZHhMHf-1x7Y/edit?usp=sharing"",""แผน!EK82"")"),1200)</f>
        <v>1200</v>
      </c>
      <c r="J332" s="718">
        <f ca="1">J344+J347+J348+J349+J353+J354</f>
        <v>5492</v>
      </c>
      <c r="K332" s="719">
        <f ca="1">IF(I332&gt;0,J332*100/I332,0)</f>
        <v>457.66666666666669</v>
      </c>
      <c r="L332" s="708"/>
      <c r="M332" s="323"/>
      <c r="N332" s="323"/>
      <c r="O332" s="323"/>
      <c r="P332" s="323"/>
      <c r="Q332" s="323"/>
      <c r="R332" s="323"/>
      <c r="S332" s="323"/>
      <c r="T332" s="323"/>
      <c r="U332" s="323"/>
    </row>
    <row r="333" spans="1:21" ht="19.5" x14ac:dyDescent="0.3">
      <c r="A333" s="129"/>
      <c r="B333" s="200"/>
      <c r="C333" s="409" t="s">
        <v>18</v>
      </c>
      <c r="D333" s="616" t="s">
        <v>19</v>
      </c>
      <c r="E333" s="200"/>
      <c r="F333" s="200"/>
      <c r="G333" s="43"/>
      <c r="H333" s="132" t="s">
        <v>14</v>
      </c>
      <c r="I333" s="45"/>
      <c r="J333" s="45"/>
      <c r="K333" s="46"/>
      <c r="L333" s="617">
        <f t="shared" ref="L333:N333" ca="1" si="219">L334+L335</f>
        <v>177000</v>
      </c>
      <c r="M333" s="133">
        <f t="shared" ca="1" si="219"/>
        <v>177000</v>
      </c>
      <c r="N333" s="133">
        <f t="shared" ca="1" si="219"/>
        <v>158555.84</v>
      </c>
      <c r="O333" s="133">
        <f t="shared" ref="O333:O341" ca="1" si="220">IF(L333&gt;0,N333*100/L333,0)</f>
        <v>89.579570621468932</v>
      </c>
      <c r="P333" s="133">
        <f t="shared" ref="P333:P341" ca="1" si="221">IF(M333&gt;0,N333*100/M333,0)</f>
        <v>89.579570621468932</v>
      </c>
      <c r="Q333" s="133">
        <f t="shared" ref="Q333:S333" si="222">Q334+Q335</f>
        <v>0</v>
      </c>
      <c r="R333" s="133">
        <f t="shared" si="222"/>
        <v>0</v>
      </c>
      <c r="S333" s="133">
        <f t="shared" si="222"/>
        <v>0</v>
      </c>
      <c r="T333" s="133">
        <f t="shared" ref="T333:T341" si="223">IF(Q333&gt;0,S333*100/Q333,0)</f>
        <v>0</v>
      </c>
      <c r="U333" s="133">
        <f t="shared" ref="U333:U341" si="224">IF(R333&gt;0,S333*100/R333,0)</f>
        <v>0</v>
      </c>
    </row>
    <row r="334" spans="1:21" ht="18.75" hidden="1" x14ac:dyDescent="0.25">
      <c r="A334" s="129"/>
      <c r="B334" s="200"/>
      <c r="C334" s="200"/>
      <c r="D334" s="200"/>
      <c r="E334" s="158" t="s">
        <v>20</v>
      </c>
      <c r="F334" s="200"/>
      <c r="G334" s="43"/>
      <c r="H334" s="159" t="s">
        <v>14</v>
      </c>
      <c r="I334" s="45"/>
      <c r="J334" s="45"/>
      <c r="K334" s="46"/>
      <c r="L334" s="590">
        <f t="shared" ref="L334:N335" si="225">L337+L340</f>
        <v>0</v>
      </c>
      <c r="M334" s="49">
        <f t="shared" si="225"/>
        <v>0</v>
      </c>
      <c r="N334" s="49">
        <f t="shared" si="225"/>
        <v>0</v>
      </c>
      <c r="O334" s="49">
        <f t="shared" si="220"/>
        <v>0</v>
      </c>
      <c r="P334" s="49">
        <f t="shared" si="221"/>
        <v>0</v>
      </c>
      <c r="Q334" s="49">
        <f t="shared" ref="Q334:S335" si="226">Q337+Q340</f>
        <v>0</v>
      </c>
      <c r="R334" s="49">
        <f t="shared" si="226"/>
        <v>0</v>
      </c>
      <c r="S334" s="49">
        <f t="shared" si="226"/>
        <v>0</v>
      </c>
      <c r="T334" s="49">
        <f t="shared" si="223"/>
        <v>0</v>
      </c>
      <c r="U334" s="49">
        <f t="shared" si="224"/>
        <v>0</v>
      </c>
    </row>
    <row r="335" spans="1:21" ht="18.75" hidden="1" x14ac:dyDescent="0.25">
      <c r="A335" s="129"/>
      <c r="B335" s="200"/>
      <c r="C335" s="200"/>
      <c r="D335" s="200"/>
      <c r="E335" s="271" t="s">
        <v>21</v>
      </c>
      <c r="F335" s="200"/>
      <c r="G335" s="43"/>
      <c r="H335" s="134" t="s">
        <v>14</v>
      </c>
      <c r="I335" s="45"/>
      <c r="J335" s="45"/>
      <c r="K335" s="46"/>
      <c r="L335" s="588">
        <f t="shared" ca="1" si="225"/>
        <v>177000</v>
      </c>
      <c r="M335" s="47">
        <f t="shared" ca="1" si="225"/>
        <v>177000</v>
      </c>
      <c r="N335" s="47">
        <f t="shared" ca="1" si="225"/>
        <v>158555.84</v>
      </c>
      <c r="O335" s="47">
        <f t="shared" ca="1" si="220"/>
        <v>89.579570621468932</v>
      </c>
      <c r="P335" s="47">
        <f t="shared" ca="1" si="221"/>
        <v>89.579570621468932</v>
      </c>
      <c r="Q335" s="47">
        <f t="shared" si="226"/>
        <v>0</v>
      </c>
      <c r="R335" s="47">
        <f t="shared" si="226"/>
        <v>0</v>
      </c>
      <c r="S335" s="47">
        <f t="shared" si="226"/>
        <v>0</v>
      </c>
      <c r="T335" s="47">
        <f t="shared" si="223"/>
        <v>0</v>
      </c>
      <c r="U335" s="47">
        <f t="shared" si="224"/>
        <v>0</v>
      </c>
    </row>
    <row r="336" spans="1:21" ht="18.75" x14ac:dyDescent="0.25">
      <c r="A336" s="129"/>
      <c r="B336" s="200"/>
      <c r="C336" s="200"/>
      <c r="D336" s="42" t="s">
        <v>22</v>
      </c>
      <c r="E336" s="200"/>
      <c r="F336" s="200"/>
      <c r="G336" s="43"/>
      <c r="H336" s="135" t="s">
        <v>14</v>
      </c>
      <c r="I336" s="136"/>
      <c r="J336" s="136"/>
      <c r="K336" s="137"/>
      <c r="L336" s="588">
        <f t="shared" ref="L336:N336" ca="1" si="227">L337+L338</f>
        <v>177000</v>
      </c>
      <c r="M336" s="47">
        <f t="shared" ca="1" si="227"/>
        <v>177000</v>
      </c>
      <c r="N336" s="47">
        <f t="shared" ca="1" si="227"/>
        <v>158555.84</v>
      </c>
      <c r="O336" s="47">
        <f t="shared" ca="1" si="220"/>
        <v>89.579570621468932</v>
      </c>
      <c r="P336" s="47">
        <f t="shared" ca="1" si="221"/>
        <v>89.579570621468932</v>
      </c>
      <c r="Q336" s="47">
        <f t="shared" ref="Q336:S336" si="228">Q337+Q338</f>
        <v>0</v>
      </c>
      <c r="R336" s="47">
        <f t="shared" si="228"/>
        <v>0</v>
      </c>
      <c r="S336" s="47">
        <f t="shared" si="228"/>
        <v>0</v>
      </c>
      <c r="T336" s="47">
        <f t="shared" si="223"/>
        <v>0</v>
      </c>
      <c r="U336" s="47">
        <f t="shared" si="224"/>
        <v>0</v>
      </c>
    </row>
    <row r="337" spans="1:21" ht="18.75" hidden="1" x14ac:dyDescent="0.25">
      <c r="A337" s="129"/>
      <c r="B337" s="200"/>
      <c r="C337" s="200"/>
      <c r="D337" s="200"/>
      <c r="E337" s="158" t="s">
        <v>36</v>
      </c>
      <c r="F337" s="200"/>
      <c r="G337" s="43"/>
      <c r="H337" s="161" t="s">
        <v>14</v>
      </c>
      <c r="I337" s="136"/>
      <c r="J337" s="136"/>
      <c r="K337" s="137"/>
      <c r="L337" s="590">
        <v>0</v>
      </c>
      <c r="M337" s="49">
        <v>0</v>
      </c>
      <c r="N337" s="49">
        <v>0</v>
      </c>
      <c r="O337" s="49">
        <f t="shared" si="220"/>
        <v>0</v>
      </c>
      <c r="P337" s="49">
        <f t="shared" si="221"/>
        <v>0</v>
      </c>
      <c r="Q337" s="49">
        <v>0</v>
      </c>
      <c r="R337" s="49">
        <v>0</v>
      </c>
      <c r="S337" s="49">
        <v>0</v>
      </c>
      <c r="T337" s="49">
        <f t="shared" si="223"/>
        <v>0</v>
      </c>
      <c r="U337" s="49">
        <f t="shared" si="224"/>
        <v>0</v>
      </c>
    </row>
    <row r="338" spans="1:21" ht="18.75" hidden="1" x14ac:dyDescent="0.25">
      <c r="A338" s="129"/>
      <c r="B338" s="200"/>
      <c r="C338" s="200"/>
      <c r="D338" s="200"/>
      <c r="E338" s="271" t="s">
        <v>37</v>
      </c>
      <c r="F338" s="200"/>
      <c r="G338" s="43"/>
      <c r="H338" s="135" t="s">
        <v>14</v>
      </c>
      <c r="I338" s="136"/>
      <c r="J338" s="136"/>
      <c r="K338" s="137"/>
      <c r="L338" s="588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IFERROR(__xludf.DUMMYFUNCTION("IMPORTRANGE(""https://docs.google.com/spreadsheets/d/1-uDff_7J0KD5mKrp0Vvzr7lt3OU09vwQwhkpOPPYv2Y/edit?usp=sharing"",""งบพรบ!EX82"")"),177000)</f>
        <v>177000</v>
      </c>
      <c r="N338" s="47">
        <f ca="1">IFERROR(__xludf.DUMMYFUNCTION("IMPORTRANGE(""https://docs.google.com/spreadsheets/d/1-uDff_7J0KD5mKrp0Vvzr7lt3OU09vwQwhkpOPPYv2Y/edit?usp=sharing"",""งบพรบ!EZ82"")"),158555.84)</f>
        <v>158555.84</v>
      </c>
      <c r="O338" s="47">
        <f t="shared" ca="1" si="220"/>
        <v>89.579570621468932</v>
      </c>
      <c r="P338" s="47">
        <f t="shared" ca="1" si="221"/>
        <v>89.579570621468932</v>
      </c>
      <c r="Q338" s="47">
        <v>0</v>
      </c>
      <c r="R338" s="47">
        <v>0</v>
      </c>
      <c r="S338" s="47">
        <v>0</v>
      </c>
      <c r="T338" s="47">
        <f t="shared" si="223"/>
        <v>0</v>
      </c>
      <c r="U338" s="47">
        <f t="shared" si="224"/>
        <v>0</v>
      </c>
    </row>
    <row r="339" spans="1:21" ht="18.75" x14ac:dyDescent="0.25">
      <c r="A339" s="129"/>
      <c r="B339" s="200"/>
      <c r="C339" s="200"/>
      <c r="D339" s="42" t="s">
        <v>23</v>
      </c>
      <c r="E339" s="200"/>
      <c r="F339" s="200"/>
      <c r="G339" s="43"/>
      <c r="H339" s="138" t="s">
        <v>14</v>
      </c>
      <c r="I339" s="136"/>
      <c r="J339" s="136"/>
      <c r="K339" s="137"/>
      <c r="L339" s="588">
        <f t="shared" ref="L339:N339" ca="1" si="229">L340+L341</f>
        <v>0</v>
      </c>
      <c r="M339" s="47">
        <f t="shared" ca="1" si="229"/>
        <v>0</v>
      </c>
      <c r="N339" s="47">
        <f t="shared" ca="1" si="229"/>
        <v>0</v>
      </c>
      <c r="O339" s="47">
        <f t="shared" ca="1" si="220"/>
        <v>0</v>
      </c>
      <c r="P339" s="47">
        <f t="shared" ca="1" si="221"/>
        <v>0</v>
      </c>
      <c r="Q339" s="47">
        <f t="shared" ref="Q339:S339" si="230">Q340+Q341</f>
        <v>0</v>
      </c>
      <c r="R339" s="47">
        <f t="shared" si="230"/>
        <v>0</v>
      </c>
      <c r="S339" s="47">
        <f t="shared" si="230"/>
        <v>0</v>
      </c>
      <c r="T339" s="47">
        <f t="shared" si="223"/>
        <v>0</v>
      </c>
      <c r="U339" s="47">
        <f t="shared" si="224"/>
        <v>0</v>
      </c>
    </row>
    <row r="340" spans="1:21" ht="18.75" hidden="1" x14ac:dyDescent="0.25">
      <c r="A340" s="129"/>
      <c r="B340" s="200"/>
      <c r="C340" s="200"/>
      <c r="D340" s="200"/>
      <c r="E340" s="158" t="s">
        <v>20</v>
      </c>
      <c r="F340" s="200"/>
      <c r="G340" s="43"/>
      <c r="H340" s="161" t="s">
        <v>14</v>
      </c>
      <c r="I340" s="136"/>
      <c r="J340" s="136"/>
      <c r="K340" s="137"/>
      <c r="L340" s="590">
        <v>0</v>
      </c>
      <c r="M340" s="49">
        <v>0</v>
      </c>
      <c r="N340" s="49">
        <v>0</v>
      </c>
      <c r="O340" s="49">
        <f t="shared" si="220"/>
        <v>0</v>
      </c>
      <c r="P340" s="49">
        <f t="shared" si="221"/>
        <v>0</v>
      </c>
      <c r="Q340" s="49">
        <v>0</v>
      </c>
      <c r="R340" s="49">
        <v>0</v>
      </c>
      <c r="S340" s="49">
        <v>0</v>
      </c>
      <c r="T340" s="49">
        <f t="shared" si="223"/>
        <v>0</v>
      </c>
      <c r="U340" s="49">
        <f t="shared" si="224"/>
        <v>0</v>
      </c>
    </row>
    <row r="341" spans="1:21" ht="18.75" hidden="1" x14ac:dyDescent="0.25">
      <c r="A341" s="129"/>
      <c r="B341" s="200"/>
      <c r="C341" s="200"/>
      <c r="D341" s="200"/>
      <c r="E341" s="271" t="s">
        <v>21</v>
      </c>
      <c r="F341" s="200"/>
      <c r="G341" s="43"/>
      <c r="H341" s="138" t="s">
        <v>14</v>
      </c>
      <c r="I341" s="136"/>
      <c r="J341" s="136"/>
      <c r="K341" s="137"/>
      <c r="L341" s="588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t="shared" ca="1" si="220"/>
        <v>0</v>
      </c>
      <c r="P341" s="47">
        <f t="shared" ca="1" si="221"/>
        <v>0</v>
      </c>
      <c r="Q341" s="47">
        <v>0</v>
      </c>
      <c r="R341" s="47">
        <v>0</v>
      </c>
      <c r="S341" s="47">
        <v>0</v>
      </c>
      <c r="T341" s="47">
        <f t="shared" si="223"/>
        <v>0</v>
      </c>
      <c r="U341" s="47">
        <f t="shared" si="224"/>
        <v>0</v>
      </c>
    </row>
    <row r="342" spans="1:21" ht="19.5" x14ac:dyDescent="0.3">
      <c r="A342" s="139"/>
      <c r="B342" s="140"/>
      <c r="C342" s="409" t="s">
        <v>18</v>
      </c>
      <c r="D342" s="327" t="s">
        <v>38</v>
      </c>
      <c r="E342" s="142"/>
      <c r="F342" s="142"/>
      <c r="G342" s="143"/>
      <c r="H342" s="43"/>
      <c r="I342" s="45"/>
      <c r="J342" s="45"/>
      <c r="K342" s="46"/>
      <c r="L342" s="591"/>
      <c r="M342" s="46"/>
      <c r="N342" s="46"/>
      <c r="O342" s="137"/>
      <c r="P342" s="137"/>
      <c r="Q342" s="46"/>
      <c r="R342" s="46"/>
      <c r="S342" s="46"/>
      <c r="T342" s="137"/>
      <c r="U342" s="137"/>
    </row>
    <row r="343" spans="1:21" ht="19.5" x14ac:dyDescent="0.3">
      <c r="A343" s="720"/>
      <c r="B343" s="721"/>
      <c r="C343" s="722"/>
      <c r="D343" s="721"/>
      <c r="E343" s="723" t="s">
        <v>140</v>
      </c>
      <c r="F343" s="721"/>
      <c r="G343" s="724"/>
      <c r="H343" s="725" t="s">
        <v>35</v>
      </c>
      <c r="I343" s="726">
        <v>0</v>
      </c>
      <c r="J343" s="726">
        <f ca="1">J344+J347+J348+J349</f>
        <v>3015</v>
      </c>
      <c r="K343" s="727">
        <v>0</v>
      </c>
      <c r="L343" s="634"/>
      <c r="M343" s="238"/>
      <c r="N343" s="238"/>
      <c r="O343" s="238"/>
      <c r="P343" s="238"/>
      <c r="Q343" s="238"/>
      <c r="R343" s="238"/>
      <c r="S343" s="238"/>
      <c r="T343" s="238"/>
      <c r="U343" s="238"/>
    </row>
    <row r="344" spans="1:21" ht="18.75" hidden="1" x14ac:dyDescent="0.25">
      <c r="A344" s="225"/>
      <c r="B344" s="200"/>
      <c r="C344" s="160"/>
      <c r="D344" s="170"/>
      <c r="E344" s="303" t="s">
        <v>141</v>
      </c>
      <c r="F344" s="200"/>
      <c r="G344" s="43"/>
      <c r="H344" s="227" t="s">
        <v>35</v>
      </c>
      <c r="I344" s="372"/>
      <c r="J344" s="372">
        <f ca="1">IFERROR(__xludf.DUMMYFUNCTION("IMPORTRANGE(""https://docs.google.com/spreadsheets/d/1awYsYK3VOup2i3Pq_Yjnu8DRu_mYwSBnCR2QPthd0rU/edit?usp=sharing"",""ศูนย์ยกเว้นโฉนด!D82"")"),3015)</f>
        <v>3015</v>
      </c>
      <c r="K344" s="47">
        <f>IF(I344&gt;0,J344*100/I344,0)</f>
        <v>0</v>
      </c>
      <c r="L344" s="591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25"/>
      <c r="B345" s="200"/>
      <c r="C345" s="160"/>
      <c r="D345" s="170"/>
      <c r="E345" s="303" t="s">
        <v>142</v>
      </c>
      <c r="F345" s="200"/>
      <c r="G345" s="43"/>
      <c r="H345" s="194"/>
      <c r="I345" s="45"/>
      <c r="J345" s="45"/>
      <c r="K345" s="46"/>
      <c r="L345" s="591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25"/>
      <c r="B346" s="200"/>
      <c r="C346" s="160"/>
      <c r="D346" s="170"/>
      <c r="E346" s="170"/>
      <c r="F346" s="303" t="s">
        <v>143</v>
      </c>
      <c r="G346" s="43"/>
      <c r="H346" s="189" t="s">
        <v>144</v>
      </c>
      <c r="I346" s="372">
        <f ca="1">IFERROR(__xludf.DUMMYFUNCTION("IMPORTRANGE(""https://docs.google.com/spreadsheets/d/1eHaY18a8A9IcSdp1K8H6x8fbOy06t2VsZHhMHf-1x7Y/edit?usp=sharing"",""แผน!EL82"")"),2)</f>
        <v>2</v>
      </c>
      <c r="J346" s="37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150</v>
      </c>
      <c r="L346" s="591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hidden="1" x14ac:dyDescent="0.25">
      <c r="A347" s="225"/>
      <c r="B347" s="200"/>
      <c r="C347" s="160"/>
      <c r="D347" s="170"/>
      <c r="E347" s="170"/>
      <c r="F347" s="303" t="s">
        <v>145</v>
      </c>
      <c r="G347" s="43"/>
      <c r="H347" s="189" t="s">
        <v>35</v>
      </c>
      <c r="I347" s="45"/>
      <c r="J347" s="37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591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hidden="1" x14ac:dyDescent="0.25">
      <c r="A348" s="225"/>
      <c r="B348" s="200"/>
      <c r="C348" s="160"/>
      <c r="D348" s="170"/>
      <c r="E348" s="303" t="s">
        <v>146</v>
      </c>
      <c r="F348" s="170"/>
      <c r="G348" s="43"/>
      <c r="H348" s="189" t="s">
        <v>35</v>
      </c>
      <c r="I348" s="45"/>
      <c r="J348" s="37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591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hidden="1" x14ac:dyDescent="0.25">
      <c r="A349" s="225"/>
      <c r="B349" s="200"/>
      <c r="C349" s="160"/>
      <c r="D349" s="140"/>
      <c r="E349" s="303" t="s">
        <v>147</v>
      </c>
      <c r="F349" s="170"/>
      <c r="G349" s="43"/>
      <c r="H349" s="189" t="s">
        <v>35</v>
      </c>
      <c r="I349" s="45"/>
      <c r="J349" s="37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591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hidden="1" x14ac:dyDescent="0.25">
      <c r="A350" s="225"/>
      <c r="B350" s="200"/>
      <c r="C350" s="160"/>
      <c r="D350" s="329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16 ก.ย. 67 เวลา 09.21 น.]")</f>
        <v xml:space="preserve"> [ข้อมูลจาก ระบบศูนย์บริการประชาชน ข้อมูล ณ 16 ก.ย. 67 เวลา 09.21 น.]</v>
      </c>
      <c r="E350" s="200"/>
      <c r="F350" s="200"/>
      <c r="G350" s="43"/>
      <c r="H350" s="194"/>
      <c r="I350" s="45"/>
      <c r="J350" s="45"/>
      <c r="K350" s="46"/>
      <c r="L350" s="591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30"/>
      <c r="B351" s="233"/>
      <c r="C351" s="231"/>
      <c r="D351" s="233"/>
      <c r="E351" s="728" t="s">
        <v>148</v>
      </c>
      <c r="F351" s="233"/>
      <c r="G351" s="234"/>
      <c r="H351" s="235" t="s">
        <v>35</v>
      </c>
      <c r="I351" s="236">
        <v>0</v>
      </c>
      <c r="J351" s="236">
        <f ca="1">J353+J354</f>
        <v>2477</v>
      </c>
      <c r="K351" s="237">
        <v>0</v>
      </c>
      <c r="L351" s="634"/>
      <c r="M351" s="238"/>
      <c r="N351" s="238"/>
      <c r="O351" s="238"/>
      <c r="P351" s="238"/>
      <c r="Q351" s="238"/>
      <c r="R351" s="238"/>
      <c r="S351" s="238"/>
      <c r="T351" s="238"/>
      <c r="U351" s="238"/>
    </row>
    <row r="352" spans="1:21" ht="18.75" hidden="1" x14ac:dyDescent="0.25">
      <c r="A352" s="225"/>
      <c r="B352" s="200"/>
      <c r="C352" s="160"/>
      <c r="D352" s="170"/>
      <c r="E352" s="303" t="s">
        <v>149</v>
      </c>
      <c r="F352" s="200"/>
      <c r="G352" s="43"/>
      <c r="H352" s="134" t="s">
        <v>35</v>
      </c>
      <c r="I352" s="45"/>
      <c r="J352" s="372">
        <f ca="1">IFERROR(__xludf.DUMMYFUNCTION("IMPORTRANGE(""https://docs.google.com/spreadsheets/d/1awYsYK3VOup2i3Pq_Yjnu8DRu_mYwSBnCR2QPthd0rU/edit?usp=sharing"",""โฉนดM3!G82"")"),201)</f>
        <v>201</v>
      </c>
      <c r="K352" s="46"/>
      <c r="L352" s="591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25"/>
      <c r="B353" s="200"/>
      <c r="C353" s="160"/>
      <c r="D353" s="170"/>
      <c r="E353" s="303" t="s">
        <v>150</v>
      </c>
      <c r="F353" s="200"/>
      <c r="G353" s="43"/>
      <c r="H353" s="134" t="s">
        <v>35</v>
      </c>
      <c r="I353" s="45"/>
      <c r="J353" s="372">
        <f ca="1">IFERROR(__xludf.DUMMYFUNCTION("IMPORTRANGE(""https://docs.google.com/spreadsheets/d/1awYsYK3VOup2i3Pq_Yjnu8DRu_mYwSBnCR2QPthd0rU/edit?usp=sharing"",""โฉนดM3!H82"")"),2041)</f>
        <v>2041</v>
      </c>
      <c r="K353" s="46"/>
      <c r="L353" s="591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331"/>
      <c r="B354" s="332"/>
      <c r="C354" s="333"/>
      <c r="D354" s="333"/>
      <c r="E354" s="410" t="s">
        <v>151</v>
      </c>
      <c r="F354" s="332"/>
      <c r="G354" s="335"/>
      <c r="H354" s="336" t="s">
        <v>35</v>
      </c>
      <c r="I354" s="337"/>
      <c r="J354" s="412">
        <f ca="1">IFERROR(__xludf.DUMMYFUNCTION("IMPORTRANGE(""https://docs.google.com/spreadsheets/d/1awYsYK3VOup2i3Pq_Yjnu8DRu_mYwSBnCR2QPthd0rU/edit?usp=sharing"",""โฉนดM3!I82"")"),436)</f>
        <v>436</v>
      </c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</row>
    <row r="355" spans="1:21" ht="19.5" x14ac:dyDescent="0.3">
      <c r="A355" s="316"/>
      <c r="B355" s="317" t="s">
        <v>152</v>
      </c>
      <c r="C355" s="326"/>
      <c r="D355" s="318"/>
      <c r="E355" s="318"/>
      <c r="F355" s="318"/>
      <c r="G355" s="319"/>
      <c r="H355" s="319"/>
      <c r="I355" s="339"/>
      <c r="J355" s="339"/>
      <c r="K355" s="323"/>
      <c r="L355" s="708"/>
      <c r="M355" s="323"/>
      <c r="N355" s="323"/>
      <c r="O355" s="323"/>
      <c r="P355" s="323"/>
      <c r="Q355" s="323"/>
      <c r="R355" s="323"/>
      <c r="S355" s="323"/>
      <c r="T355" s="323"/>
      <c r="U355" s="323"/>
    </row>
    <row r="356" spans="1:21" ht="19.5" x14ac:dyDescent="0.3">
      <c r="A356" s="129"/>
      <c r="B356" s="200"/>
      <c r="C356" s="409" t="s">
        <v>18</v>
      </c>
      <c r="D356" s="616" t="s">
        <v>19</v>
      </c>
      <c r="E356" s="200"/>
      <c r="F356" s="200"/>
      <c r="G356" s="43"/>
      <c r="H356" s="132" t="s">
        <v>14</v>
      </c>
      <c r="I356" s="45"/>
      <c r="J356" s="45"/>
      <c r="K356" s="46"/>
      <c r="L356" s="617">
        <f t="shared" ref="L356:N356" ca="1" si="231">L357+L358</f>
        <v>430070</v>
      </c>
      <c r="M356" s="133">
        <f t="shared" ca="1" si="231"/>
        <v>518070</v>
      </c>
      <c r="N356" s="133">
        <f t="shared" ca="1" si="231"/>
        <v>389632.69</v>
      </c>
      <c r="O356" s="133">
        <f t="shared" ref="O356:O364" ca="1" si="232">IF(L356&gt;0,N356*100/L356,0)</f>
        <v>90.597505057316255</v>
      </c>
      <c r="P356" s="133">
        <f t="shared" ref="P356:P364" ca="1" si="233">IF(M356&gt;0,N356*100/M356,0)</f>
        <v>75.208502711988729</v>
      </c>
      <c r="Q356" s="133">
        <f t="shared" ref="Q356:S356" si="234">Q357+Q358</f>
        <v>0</v>
      </c>
      <c r="R356" s="133">
        <f t="shared" si="234"/>
        <v>0</v>
      </c>
      <c r="S356" s="133">
        <f t="shared" si="234"/>
        <v>0</v>
      </c>
      <c r="T356" s="133">
        <f t="shared" ref="T356:T364" si="235">IF(Q356&gt;0,S356*100/Q356,0)</f>
        <v>0</v>
      </c>
      <c r="U356" s="133">
        <f t="shared" ref="U356:U364" si="236">IF(R356&gt;0,S356*100/R356,0)</f>
        <v>0</v>
      </c>
    </row>
    <row r="357" spans="1:21" ht="18.75" hidden="1" x14ac:dyDescent="0.25">
      <c r="A357" s="129"/>
      <c r="B357" s="200"/>
      <c r="C357" s="200"/>
      <c r="D357" s="200"/>
      <c r="E357" s="158" t="s">
        <v>20</v>
      </c>
      <c r="F357" s="200"/>
      <c r="G357" s="43"/>
      <c r="H357" s="159" t="s">
        <v>14</v>
      </c>
      <c r="I357" s="45"/>
      <c r="J357" s="45"/>
      <c r="K357" s="46"/>
      <c r="L357" s="590">
        <f t="shared" ref="L357:N358" si="237">L360+L363</f>
        <v>0</v>
      </c>
      <c r="M357" s="49">
        <f t="shared" si="237"/>
        <v>0</v>
      </c>
      <c r="N357" s="49">
        <f t="shared" si="237"/>
        <v>0</v>
      </c>
      <c r="O357" s="49">
        <f t="shared" si="232"/>
        <v>0</v>
      </c>
      <c r="P357" s="49">
        <f t="shared" si="233"/>
        <v>0</v>
      </c>
      <c r="Q357" s="49">
        <f t="shared" ref="Q357:S358" si="238">Q360+Q363</f>
        <v>0</v>
      </c>
      <c r="R357" s="49">
        <f t="shared" si="238"/>
        <v>0</v>
      </c>
      <c r="S357" s="49">
        <f t="shared" si="238"/>
        <v>0</v>
      </c>
      <c r="T357" s="49">
        <f t="shared" si="235"/>
        <v>0</v>
      </c>
      <c r="U357" s="49">
        <f t="shared" si="236"/>
        <v>0</v>
      </c>
    </row>
    <row r="358" spans="1:21" ht="18.75" hidden="1" x14ac:dyDescent="0.25">
      <c r="A358" s="129"/>
      <c r="B358" s="200"/>
      <c r="C358" s="200"/>
      <c r="D358" s="200"/>
      <c r="E358" s="271" t="s">
        <v>21</v>
      </c>
      <c r="F358" s="200"/>
      <c r="G358" s="43"/>
      <c r="H358" s="134" t="s">
        <v>14</v>
      </c>
      <c r="I358" s="45"/>
      <c r="J358" s="45"/>
      <c r="K358" s="46"/>
      <c r="L358" s="588">
        <f t="shared" ca="1" si="237"/>
        <v>430070</v>
      </c>
      <c r="M358" s="47">
        <f t="shared" ca="1" si="237"/>
        <v>518070</v>
      </c>
      <c r="N358" s="47">
        <f t="shared" ca="1" si="237"/>
        <v>389632.69</v>
      </c>
      <c r="O358" s="47">
        <f t="shared" ca="1" si="232"/>
        <v>90.597505057316255</v>
      </c>
      <c r="P358" s="47">
        <f t="shared" ca="1" si="233"/>
        <v>75.208502711988729</v>
      </c>
      <c r="Q358" s="47">
        <f t="shared" si="238"/>
        <v>0</v>
      </c>
      <c r="R358" s="47">
        <f t="shared" si="238"/>
        <v>0</v>
      </c>
      <c r="S358" s="47">
        <f t="shared" si="238"/>
        <v>0</v>
      </c>
      <c r="T358" s="47">
        <f t="shared" si="235"/>
        <v>0</v>
      </c>
      <c r="U358" s="47">
        <f t="shared" si="236"/>
        <v>0</v>
      </c>
    </row>
    <row r="359" spans="1:21" ht="18.75" x14ac:dyDescent="0.25">
      <c r="A359" s="129"/>
      <c r="B359" s="200"/>
      <c r="C359" s="200"/>
      <c r="D359" s="42" t="s">
        <v>22</v>
      </c>
      <c r="E359" s="200"/>
      <c r="F359" s="200"/>
      <c r="G359" s="43"/>
      <c r="H359" s="135" t="s">
        <v>14</v>
      </c>
      <c r="I359" s="136"/>
      <c r="J359" s="136"/>
      <c r="K359" s="137"/>
      <c r="L359" s="588">
        <f t="shared" ref="L359:N359" ca="1" si="239">L360+L361</f>
        <v>430070</v>
      </c>
      <c r="M359" s="47">
        <f t="shared" ca="1" si="239"/>
        <v>518070</v>
      </c>
      <c r="N359" s="47">
        <f t="shared" ca="1" si="239"/>
        <v>389632.69</v>
      </c>
      <c r="O359" s="47">
        <f t="shared" ca="1" si="232"/>
        <v>90.597505057316255</v>
      </c>
      <c r="P359" s="47">
        <f t="shared" ca="1" si="233"/>
        <v>75.208502711988729</v>
      </c>
      <c r="Q359" s="47">
        <f t="shared" ref="Q359:S359" si="240">Q360+Q361</f>
        <v>0</v>
      </c>
      <c r="R359" s="47">
        <f t="shared" si="240"/>
        <v>0</v>
      </c>
      <c r="S359" s="47">
        <f t="shared" si="240"/>
        <v>0</v>
      </c>
      <c r="T359" s="47">
        <f t="shared" si="235"/>
        <v>0</v>
      </c>
      <c r="U359" s="47">
        <f t="shared" si="236"/>
        <v>0</v>
      </c>
    </row>
    <row r="360" spans="1:21" ht="18.75" hidden="1" x14ac:dyDescent="0.25">
      <c r="A360" s="129"/>
      <c r="B360" s="200"/>
      <c r="C360" s="200"/>
      <c r="D360" s="200"/>
      <c r="E360" s="158" t="s">
        <v>36</v>
      </c>
      <c r="F360" s="200"/>
      <c r="G360" s="43"/>
      <c r="H360" s="161" t="s">
        <v>14</v>
      </c>
      <c r="I360" s="136"/>
      <c r="J360" s="136"/>
      <c r="K360" s="137"/>
      <c r="L360" s="590">
        <v>0</v>
      </c>
      <c r="M360" s="49">
        <v>0</v>
      </c>
      <c r="N360" s="49">
        <v>0</v>
      </c>
      <c r="O360" s="49">
        <f t="shared" si="232"/>
        <v>0</v>
      </c>
      <c r="P360" s="49">
        <f t="shared" si="233"/>
        <v>0</v>
      </c>
      <c r="Q360" s="49">
        <v>0</v>
      </c>
      <c r="R360" s="49">
        <v>0</v>
      </c>
      <c r="S360" s="49">
        <v>0</v>
      </c>
      <c r="T360" s="49">
        <f t="shared" si="235"/>
        <v>0</v>
      </c>
      <c r="U360" s="49">
        <f t="shared" si="236"/>
        <v>0</v>
      </c>
    </row>
    <row r="361" spans="1:21" ht="18.75" hidden="1" x14ac:dyDescent="0.25">
      <c r="A361" s="129"/>
      <c r="B361" s="200"/>
      <c r="C361" s="200"/>
      <c r="D361" s="200"/>
      <c r="E361" s="271" t="s">
        <v>37</v>
      </c>
      <c r="F361" s="200"/>
      <c r="G361" s="43"/>
      <c r="H361" s="135" t="s">
        <v>14</v>
      </c>
      <c r="I361" s="136"/>
      <c r="J361" s="136"/>
      <c r="K361" s="137"/>
      <c r="L361" s="588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IFERROR(__xludf.DUMMYFUNCTION("IMPORTRANGE(""https://docs.google.com/spreadsheets/d/1-uDff_7J0KD5mKrp0Vvzr7lt3OU09vwQwhkpOPPYv2Y/edit?usp=sharing"",""งบพรบ!FH82"")"),518070)</f>
        <v>518070</v>
      </c>
      <c r="N361" s="47">
        <f ca="1">IFERROR(__xludf.DUMMYFUNCTION("IMPORTRANGE(""https://docs.google.com/spreadsheets/d/1-uDff_7J0KD5mKrp0Vvzr7lt3OU09vwQwhkpOPPYv2Y/edit?usp=sharing"",""งบพรบ!FJ82"")"),389632.69)</f>
        <v>389632.69</v>
      </c>
      <c r="O361" s="47">
        <f t="shared" ca="1" si="232"/>
        <v>90.597505057316255</v>
      </c>
      <c r="P361" s="47">
        <f t="shared" ca="1" si="233"/>
        <v>75.208502711988729</v>
      </c>
      <c r="Q361" s="47">
        <v>0</v>
      </c>
      <c r="R361" s="47">
        <v>0</v>
      </c>
      <c r="S361" s="47">
        <v>0</v>
      </c>
      <c r="T361" s="47">
        <f t="shared" si="235"/>
        <v>0</v>
      </c>
      <c r="U361" s="47">
        <f t="shared" si="236"/>
        <v>0</v>
      </c>
    </row>
    <row r="362" spans="1:21" ht="18.75" x14ac:dyDescent="0.25">
      <c r="A362" s="129"/>
      <c r="B362" s="200"/>
      <c r="C362" s="200"/>
      <c r="D362" s="42" t="s">
        <v>23</v>
      </c>
      <c r="E362" s="200"/>
      <c r="F362" s="200"/>
      <c r="G362" s="43"/>
      <c r="H362" s="138" t="s">
        <v>14</v>
      </c>
      <c r="I362" s="136"/>
      <c r="J362" s="136"/>
      <c r="K362" s="137"/>
      <c r="L362" s="588">
        <f t="shared" ref="L362:N362" ca="1" si="241">L363+L364</f>
        <v>0</v>
      </c>
      <c r="M362" s="47">
        <f t="shared" ca="1" si="241"/>
        <v>0</v>
      </c>
      <c r="N362" s="47">
        <f t="shared" ca="1" si="241"/>
        <v>0</v>
      </c>
      <c r="O362" s="47">
        <f t="shared" ca="1" si="232"/>
        <v>0</v>
      </c>
      <c r="P362" s="47">
        <f t="shared" ca="1" si="233"/>
        <v>0</v>
      </c>
      <c r="Q362" s="47">
        <f t="shared" ref="Q362:S362" si="242">Q363+Q364</f>
        <v>0</v>
      </c>
      <c r="R362" s="47">
        <f t="shared" si="242"/>
        <v>0</v>
      </c>
      <c r="S362" s="47">
        <f t="shared" si="242"/>
        <v>0</v>
      </c>
      <c r="T362" s="47">
        <f t="shared" si="235"/>
        <v>0</v>
      </c>
      <c r="U362" s="47">
        <f t="shared" si="236"/>
        <v>0</v>
      </c>
    </row>
    <row r="363" spans="1:21" ht="18.75" hidden="1" x14ac:dyDescent="0.25">
      <c r="A363" s="129"/>
      <c r="B363" s="200"/>
      <c r="C363" s="200"/>
      <c r="D363" s="200"/>
      <c r="E363" s="158" t="s">
        <v>20</v>
      </c>
      <c r="F363" s="200"/>
      <c r="G363" s="43"/>
      <c r="H363" s="161" t="s">
        <v>14</v>
      </c>
      <c r="I363" s="136"/>
      <c r="J363" s="136"/>
      <c r="K363" s="137"/>
      <c r="L363" s="590">
        <v>0</v>
      </c>
      <c r="M363" s="49">
        <v>0</v>
      </c>
      <c r="N363" s="49">
        <v>0</v>
      </c>
      <c r="O363" s="49">
        <f t="shared" si="232"/>
        <v>0</v>
      </c>
      <c r="P363" s="49">
        <f t="shared" si="233"/>
        <v>0</v>
      </c>
      <c r="Q363" s="49">
        <v>0</v>
      </c>
      <c r="R363" s="49">
        <v>0</v>
      </c>
      <c r="S363" s="49">
        <v>0</v>
      </c>
      <c r="T363" s="49">
        <f t="shared" si="235"/>
        <v>0</v>
      </c>
      <c r="U363" s="49">
        <f t="shared" si="236"/>
        <v>0</v>
      </c>
    </row>
    <row r="364" spans="1:21" ht="18.75" hidden="1" x14ac:dyDescent="0.25">
      <c r="A364" s="129"/>
      <c r="B364" s="200"/>
      <c r="C364" s="200"/>
      <c r="D364" s="200"/>
      <c r="E364" s="271" t="s">
        <v>21</v>
      </c>
      <c r="F364" s="200"/>
      <c r="G364" s="43"/>
      <c r="H364" s="138" t="s">
        <v>14</v>
      </c>
      <c r="I364" s="136"/>
      <c r="J364" s="136"/>
      <c r="K364" s="137"/>
      <c r="L364" s="588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t="shared" ca="1" si="232"/>
        <v>0</v>
      </c>
      <c r="P364" s="47">
        <f t="shared" ca="1" si="233"/>
        <v>0</v>
      </c>
      <c r="Q364" s="47">
        <v>0</v>
      </c>
      <c r="R364" s="47">
        <v>0</v>
      </c>
      <c r="S364" s="47">
        <v>0</v>
      </c>
      <c r="T364" s="47">
        <f t="shared" si="235"/>
        <v>0</v>
      </c>
      <c r="U364" s="47">
        <f t="shared" si="236"/>
        <v>0</v>
      </c>
    </row>
    <row r="365" spans="1:21" ht="19.5" x14ac:dyDescent="0.3">
      <c r="A365" s="230"/>
      <c r="B365" s="231"/>
      <c r="C365" s="233"/>
      <c r="D365" s="728" t="s">
        <v>153</v>
      </c>
      <c r="E365" s="233"/>
      <c r="F365" s="233"/>
      <c r="G365" s="234"/>
      <c r="H365" s="340" t="s">
        <v>35</v>
      </c>
      <c r="I365" s="236">
        <f t="shared" ref="I365:J365" ca="1" si="243">I371</f>
        <v>250</v>
      </c>
      <c r="J365" s="236">
        <f t="shared" ca="1" si="243"/>
        <v>253</v>
      </c>
      <c r="K365" s="237">
        <f ca="1">IF(I365&gt;0,J365*100/I365,0)</f>
        <v>101.2</v>
      </c>
      <c r="L365" s="634"/>
      <c r="M365" s="238"/>
      <c r="N365" s="238"/>
      <c r="O365" s="238"/>
      <c r="P365" s="238"/>
      <c r="Q365" s="238"/>
      <c r="R365" s="238"/>
      <c r="S365" s="238"/>
      <c r="T365" s="238"/>
      <c r="U365" s="238"/>
    </row>
    <row r="366" spans="1:21" ht="19.5" x14ac:dyDescent="0.3">
      <c r="A366" s="139"/>
      <c r="B366" s="140"/>
      <c r="C366" s="409" t="s">
        <v>18</v>
      </c>
      <c r="D366" s="618" t="s">
        <v>38</v>
      </c>
      <c r="E366" s="142"/>
      <c r="F366" s="142"/>
      <c r="G366" s="143"/>
      <c r="H366" s="144"/>
      <c r="I366" s="45"/>
      <c r="J366" s="45"/>
      <c r="K366" s="46"/>
      <c r="L366" s="619"/>
      <c r="M366" s="137"/>
      <c r="N366" s="137"/>
      <c r="O366" s="137"/>
      <c r="P366" s="137"/>
      <c r="Q366" s="137"/>
      <c r="R366" s="137"/>
      <c r="S366" s="137"/>
      <c r="T366" s="137"/>
      <c r="U366" s="137"/>
    </row>
    <row r="367" spans="1:21" ht="18.75" x14ac:dyDescent="0.25">
      <c r="A367" s="139"/>
      <c r="B367" s="170"/>
      <c r="C367" s="140"/>
      <c r="D367" s="170"/>
      <c r="E367" s="145" t="s">
        <v>154</v>
      </c>
      <c r="F367" s="170"/>
      <c r="G367" s="144"/>
      <c r="H367" s="155" t="s">
        <v>35</v>
      </c>
      <c r="I367" s="372">
        <v>0</v>
      </c>
      <c r="J367" s="372">
        <f ca="1">IFERROR(__xludf.DUMMYFUNCTION("IMPORTRANGE(""https://docs.google.com/spreadsheets/d/1tdoBKaGub7dwA3U6UFTqxio9LNnvDCQjHKmttSEBsFQ/edit?usp=sharing"",""จัดที่ดิน!AB82"")"),74)</f>
        <v>74</v>
      </c>
      <c r="K367" s="47">
        <f t="shared" ref="K367:K372" si="244">IF(I367&gt;0,J367*100/I367,0)</f>
        <v>0</v>
      </c>
      <c r="L367" s="619"/>
      <c r="M367" s="137"/>
      <c r="N367" s="137"/>
      <c r="O367" s="137"/>
      <c r="P367" s="137"/>
      <c r="Q367" s="137"/>
      <c r="R367" s="137"/>
      <c r="S367" s="137"/>
      <c r="T367" s="137"/>
      <c r="U367" s="137"/>
    </row>
    <row r="368" spans="1:21" ht="18.75" x14ac:dyDescent="0.25">
      <c r="A368" s="139"/>
      <c r="B368" s="170"/>
      <c r="C368" s="140"/>
      <c r="D368" s="170"/>
      <c r="E368" s="170"/>
      <c r="F368" s="170"/>
      <c r="G368" s="144"/>
      <c r="H368" s="155" t="s">
        <v>46</v>
      </c>
      <c r="I368" s="372">
        <f ca="1">IFERROR(__xludf.DUMMYFUNCTION("IMPORTRANGE(""https://docs.google.com/spreadsheets/d/1eHaY18a8A9IcSdp1K8H6x8fbOy06t2VsZHhMHf-1x7Y/edit?usp=sharing"",""แผน!EW82"")"),680)</f>
        <v>680</v>
      </c>
      <c r="J368" s="729">
        <f ca="1">IFERROR(__xludf.DUMMYFUNCTION("IMPORTRANGE(""https://docs.google.com/spreadsheets/d/1tdoBKaGub7dwA3U6UFTqxio9LNnvDCQjHKmttSEBsFQ/edit?usp=sharing"",""จัดที่ดิน!AC82"")"),298.06)</f>
        <v>298.06</v>
      </c>
      <c r="K368" s="47">
        <f t="shared" ca="1" si="244"/>
        <v>43.832352941176474</v>
      </c>
      <c r="L368" s="619"/>
      <c r="M368" s="137"/>
      <c r="N368" s="137"/>
      <c r="O368" s="137"/>
      <c r="P368" s="137"/>
      <c r="Q368" s="137"/>
      <c r="R368" s="137"/>
      <c r="S368" s="137"/>
      <c r="T368" s="137"/>
      <c r="U368" s="137"/>
    </row>
    <row r="369" spans="1:21" ht="18.75" x14ac:dyDescent="0.25">
      <c r="A369" s="139"/>
      <c r="B369" s="170"/>
      <c r="C369" s="140"/>
      <c r="D369" s="170"/>
      <c r="E369" s="145" t="s">
        <v>155</v>
      </c>
      <c r="F369" s="170"/>
      <c r="G369" s="144"/>
      <c r="H369" s="248" t="s">
        <v>35</v>
      </c>
      <c r="I369" s="372">
        <f ca="1">IFERROR(__xludf.DUMMYFUNCTION("IMPORTRANGE(""https://docs.google.com/spreadsheets/d/1eHaY18a8A9IcSdp1K8H6x8fbOy06t2VsZHhMHf-1x7Y/edit?usp=sharing"",""แผน!EX82"")"),250)</f>
        <v>250</v>
      </c>
      <c r="J369" s="372">
        <f ca="1">IFERROR(__xludf.DUMMYFUNCTION("IMPORTRANGE(""https://docs.google.com/spreadsheets/d/1tdoBKaGub7dwA3U6UFTqxio9LNnvDCQjHKmttSEBsFQ/edit?usp=sharing"",""จัดที่ดิน!AD82"")"),273)</f>
        <v>273</v>
      </c>
      <c r="K369" s="47">
        <f t="shared" ca="1" si="244"/>
        <v>109.2</v>
      </c>
      <c r="L369" s="619"/>
      <c r="M369" s="137"/>
      <c r="N369" s="137"/>
      <c r="O369" s="137"/>
      <c r="P369" s="137"/>
      <c r="Q369" s="137"/>
      <c r="R369" s="137"/>
      <c r="S369" s="137"/>
      <c r="T369" s="137"/>
      <c r="U369" s="137"/>
    </row>
    <row r="370" spans="1:21" ht="18.75" x14ac:dyDescent="0.25">
      <c r="A370" s="139"/>
      <c r="B370" s="170"/>
      <c r="C370" s="140"/>
      <c r="D370" s="170"/>
      <c r="E370" s="170"/>
      <c r="F370" s="170"/>
      <c r="G370" s="144"/>
      <c r="H370" s="248" t="s">
        <v>46</v>
      </c>
      <c r="I370" s="372">
        <v>0</v>
      </c>
      <c r="J370" s="729">
        <f ca="1">IFERROR(__xludf.DUMMYFUNCTION("IMPORTRANGE(""https://docs.google.com/spreadsheets/d/1tdoBKaGub7dwA3U6UFTqxio9LNnvDCQjHKmttSEBsFQ/edit?usp=sharing"",""จัดที่ดิน!AE82"")"),2056.62)</f>
        <v>2056.62</v>
      </c>
      <c r="K370" s="47">
        <f t="shared" si="244"/>
        <v>0</v>
      </c>
      <c r="L370" s="619"/>
      <c r="M370" s="137"/>
      <c r="N370" s="137"/>
      <c r="O370" s="137"/>
      <c r="P370" s="137"/>
      <c r="Q370" s="137"/>
      <c r="R370" s="137"/>
      <c r="S370" s="137"/>
      <c r="T370" s="137"/>
      <c r="U370" s="137"/>
    </row>
    <row r="371" spans="1:21" ht="18.75" x14ac:dyDescent="0.25">
      <c r="A371" s="139"/>
      <c r="B371" s="170"/>
      <c r="C371" s="140"/>
      <c r="D371" s="170"/>
      <c r="E371" s="341" t="s">
        <v>156</v>
      </c>
      <c r="F371" s="170"/>
      <c r="G371" s="144"/>
      <c r="H371" s="248" t="s">
        <v>35</v>
      </c>
      <c r="I371" s="372">
        <f ca="1">IFERROR(__xludf.DUMMYFUNCTION("IMPORTRANGE(""https://docs.google.com/spreadsheets/d/1eHaY18a8A9IcSdp1K8H6x8fbOy06t2VsZHhMHf-1x7Y/edit?usp=sharing"",""แผน!EY82"")"),250)</f>
        <v>250</v>
      </c>
      <c r="J371" s="372">
        <f ca="1">IFERROR(__xludf.DUMMYFUNCTION("IMPORTRANGE(""https://docs.google.com/spreadsheets/d/1tdoBKaGub7dwA3U6UFTqxio9LNnvDCQjHKmttSEBsFQ/edit?usp=sharing"",""จัดที่ดิน!AF82"")"),253)</f>
        <v>253</v>
      </c>
      <c r="K371" s="47">
        <f t="shared" ca="1" si="244"/>
        <v>101.2</v>
      </c>
      <c r="L371" s="619"/>
      <c r="M371" s="137"/>
      <c r="N371" s="137"/>
      <c r="O371" s="137"/>
      <c r="P371" s="137"/>
      <c r="Q371" s="137"/>
      <c r="R371" s="137"/>
      <c r="S371" s="137"/>
      <c r="T371" s="137"/>
      <c r="U371" s="137"/>
    </row>
    <row r="372" spans="1:21" ht="18.75" x14ac:dyDescent="0.25">
      <c r="A372" s="139"/>
      <c r="B372" s="170"/>
      <c r="C372" s="140"/>
      <c r="D372" s="170"/>
      <c r="E372" s="170"/>
      <c r="F372" s="170"/>
      <c r="G372" s="144"/>
      <c r="H372" s="248" t="s">
        <v>46</v>
      </c>
      <c r="I372" s="372">
        <v>0</v>
      </c>
      <c r="J372" s="729">
        <f ca="1">IFERROR(__xludf.DUMMYFUNCTION("IMPORTRANGE(""https://docs.google.com/spreadsheets/d/1tdoBKaGub7dwA3U6UFTqxio9LNnvDCQjHKmttSEBsFQ/edit?usp=sharing"",""จัดที่ดิน!AG82"")"),1995.17)</f>
        <v>1995.17</v>
      </c>
      <c r="K372" s="47">
        <f t="shared" si="244"/>
        <v>0</v>
      </c>
      <c r="L372" s="619"/>
      <c r="M372" s="137"/>
      <c r="N372" s="137"/>
      <c r="O372" s="137"/>
      <c r="P372" s="137"/>
      <c r="Q372" s="137"/>
      <c r="R372" s="137"/>
      <c r="S372" s="137"/>
      <c r="T372" s="137"/>
      <c r="U372" s="137"/>
    </row>
    <row r="373" spans="1:21" ht="16.5" x14ac:dyDescent="0.25">
      <c r="A373" s="373"/>
      <c r="B373" s="1"/>
      <c r="C373" s="3"/>
      <c r="D373" s="342" t="str">
        <f ca="1">IFERROR(__xludf.DUMMYFUNCTION("IMPORTRANGE(""https://docs.google.com/spreadsheets/d/1gNPQPjxUj63ZZXIIIm2aX4x3w7PhAZpC9JuXdbpWwUQ/edit?usp=sharing"",""Sheet1!b4"")")," [ข้อมูลจาก ระบบ ALRO Land Online ข้อมูล ณ 16 ก.ย. 67 เวลา 08.04 น.]")</f>
        <v xml:space="preserve"> [ข้อมูลจาก ระบบ ALRO Land Online ข้อมูล ณ 16 ก.ย. 67 เวลา 08.04 น.]</v>
      </c>
      <c r="E373" s="1"/>
      <c r="F373" s="1"/>
      <c r="G373" s="53"/>
      <c r="H373" s="53"/>
      <c r="I373" s="55"/>
      <c r="J373" s="55"/>
      <c r="K373" s="4"/>
      <c r="L373" s="592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730"/>
      <c r="B374" s="731" t="s">
        <v>157</v>
      </c>
      <c r="C374" s="732"/>
      <c r="D374" s="733"/>
      <c r="E374" s="734"/>
      <c r="F374" s="734"/>
      <c r="G374" s="735"/>
      <c r="H374" s="736" t="s">
        <v>46</v>
      </c>
      <c r="I374" s="737">
        <f t="shared" ref="I374:J374" ca="1" si="245">I385</f>
        <v>0</v>
      </c>
      <c r="J374" s="737">
        <f t="shared" si="245"/>
        <v>0</v>
      </c>
      <c r="K374" s="738">
        <f ca="1">IF(I374&gt;0,J374*100/I374,0)</f>
        <v>0</v>
      </c>
      <c r="L374" s="708"/>
      <c r="M374" s="323"/>
      <c r="N374" s="323"/>
      <c r="O374" s="323"/>
      <c r="P374" s="323"/>
      <c r="Q374" s="323"/>
      <c r="R374" s="323"/>
      <c r="S374" s="323"/>
      <c r="T374" s="323"/>
      <c r="U374" s="323"/>
    </row>
    <row r="375" spans="1:21" ht="19.5" hidden="1" x14ac:dyDescent="0.3">
      <c r="A375" s="129"/>
      <c r="B375" s="160"/>
      <c r="C375" s="367" t="s">
        <v>18</v>
      </c>
      <c r="D375" s="739" t="s">
        <v>19</v>
      </c>
      <c r="E375" s="200"/>
      <c r="F375" s="200"/>
      <c r="G375" s="43"/>
      <c r="H375" s="132" t="s">
        <v>14</v>
      </c>
      <c r="I375" s="45"/>
      <c r="J375" s="45"/>
      <c r="K375" s="46"/>
      <c r="L375" s="617">
        <f t="shared" ref="L375:N375" ca="1" si="246">L376+L377</f>
        <v>0</v>
      </c>
      <c r="M375" s="133">
        <f t="shared" ca="1" si="246"/>
        <v>0</v>
      </c>
      <c r="N375" s="133">
        <f t="shared" ca="1" si="246"/>
        <v>0</v>
      </c>
      <c r="O375" s="133">
        <f t="shared" ref="O375:O383" ca="1" si="247">IF(L375&gt;0,N375*100/L375,0)</f>
        <v>0</v>
      </c>
      <c r="P375" s="133">
        <f t="shared" ref="P375:P383" ca="1" si="248">IF(M375&gt;0,N375*100/M375,0)</f>
        <v>0</v>
      </c>
      <c r="Q375" s="133">
        <f t="shared" ref="Q375:S375" ca="1" si="249">Q376+Q377</f>
        <v>0</v>
      </c>
      <c r="R375" s="133">
        <f t="shared" ca="1" si="249"/>
        <v>0</v>
      </c>
      <c r="S375" s="133">
        <f t="shared" ca="1" si="249"/>
        <v>0</v>
      </c>
      <c r="T375" s="133">
        <f t="shared" ref="T375:T383" ca="1" si="250">IF(Q375&gt;0,S375*100/Q375,0)</f>
        <v>0</v>
      </c>
      <c r="U375" s="133">
        <f t="shared" ref="U375:U383" ca="1" si="251">IF(R375&gt;0,S375*100/R375,0)</f>
        <v>0</v>
      </c>
    </row>
    <row r="376" spans="1:21" ht="18.75" hidden="1" x14ac:dyDescent="0.25">
      <c r="A376" s="129"/>
      <c r="B376" s="160"/>
      <c r="C376" s="160"/>
      <c r="D376" s="160"/>
      <c r="E376" s="158" t="s">
        <v>20</v>
      </c>
      <c r="F376" s="200"/>
      <c r="G376" s="43"/>
      <c r="H376" s="159" t="s">
        <v>14</v>
      </c>
      <c r="I376" s="45"/>
      <c r="J376" s="45"/>
      <c r="K376" s="46"/>
      <c r="L376" s="590">
        <f t="shared" ref="L376:N377" si="252">L379+L382</f>
        <v>0</v>
      </c>
      <c r="M376" s="49">
        <f t="shared" si="252"/>
        <v>0</v>
      </c>
      <c r="N376" s="49">
        <f t="shared" si="252"/>
        <v>0</v>
      </c>
      <c r="O376" s="49">
        <f t="shared" si="247"/>
        <v>0</v>
      </c>
      <c r="P376" s="49">
        <f t="shared" si="248"/>
        <v>0</v>
      </c>
      <c r="Q376" s="49">
        <f t="shared" ref="Q376:S377" si="253">Q379+Q382</f>
        <v>0</v>
      </c>
      <c r="R376" s="49">
        <f t="shared" si="253"/>
        <v>0</v>
      </c>
      <c r="S376" s="49">
        <f t="shared" si="253"/>
        <v>0</v>
      </c>
      <c r="T376" s="49">
        <f t="shared" si="250"/>
        <v>0</v>
      </c>
      <c r="U376" s="49">
        <f t="shared" si="251"/>
        <v>0</v>
      </c>
    </row>
    <row r="377" spans="1:21" ht="18.75" hidden="1" x14ac:dyDescent="0.25">
      <c r="A377" s="129"/>
      <c r="B377" s="160"/>
      <c r="C377" s="160"/>
      <c r="D377" s="160"/>
      <c r="E377" s="271" t="s">
        <v>21</v>
      </c>
      <c r="F377" s="200"/>
      <c r="G377" s="43"/>
      <c r="H377" s="134" t="s">
        <v>14</v>
      </c>
      <c r="I377" s="45"/>
      <c r="J377" s="45"/>
      <c r="K377" s="46"/>
      <c r="L377" s="588">
        <f t="shared" ca="1" si="252"/>
        <v>0</v>
      </c>
      <c r="M377" s="47">
        <f t="shared" ca="1" si="252"/>
        <v>0</v>
      </c>
      <c r="N377" s="47">
        <f t="shared" ca="1" si="252"/>
        <v>0</v>
      </c>
      <c r="O377" s="47">
        <f t="shared" ca="1" si="247"/>
        <v>0</v>
      </c>
      <c r="P377" s="47">
        <f t="shared" ca="1" si="248"/>
        <v>0</v>
      </c>
      <c r="Q377" s="47">
        <f t="shared" ca="1" si="253"/>
        <v>0</v>
      </c>
      <c r="R377" s="47">
        <f t="shared" ca="1" si="253"/>
        <v>0</v>
      </c>
      <c r="S377" s="47">
        <f t="shared" ca="1" si="253"/>
        <v>0</v>
      </c>
      <c r="T377" s="47">
        <f t="shared" ca="1" si="250"/>
        <v>0</v>
      </c>
      <c r="U377" s="47">
        <f t="shared" ca="1" si="251"/>
        <v>0</v>
      </c>
    </row>
    <row r="378" spans="1:21" ht="18.75" hidden="1" x14ac:dyDescent="0.25">
      <c r="A378" s="129"/>
      <c r="B378" s="160"/>
      <c r="C378" s="160"/>
      <c r="D378" s="626" t="s">
        <v>22</v>
      </c>
      <c r="E378" s="200"/>
      <c r="F378" s="200"/>
      <c r="G378" s="43"/>
      <c r="H378" s="135" t="s">
        <v>14</v>
      </c>
      <c r="I378" s="136"/>
      <c r="J378" s="136"/>
      <c r="K378" s="137"/>
      <c r="L378" s="588">
        <f t="shared" ref="L378:N378" ca="1" si="254">L379+L380</f>
        <v>0</v>
      </c>
      <c r="M378" s="47">
        <f t="shared" ca="1" si="254"/>
        <v>0</v>
      </c>
      <c r="N378" s="47">
        <f t="shared" ca="1" si="254"/>
        <v>0</v>
      </c>
      <c r="O378" s="47">
        <f t="shared" ca="1" si="247"/>
        <v>0</v>
      </c>
      <c r="P378" s="47">
        <f t="shared" ca="1" si="248"/>
        <v>0</v>
      </c>
      <c r="Q378" s="47">
        <f t="shared" ref="Q378:S378" ca="1" si="255">Q379+Q380</f>
        <v>0</v>
      </c>
      <c r="R378" s="47">
        <f t="shared" ca="1" si="255"/>
        <v>0</v>
      </c>
      <c r="S378" s="47">
        <f t="shared" ca="1" si="255"/>
        <v>0</v>
      </c>
      <c r="T378" s="47">
        <f t="shared" ca="1" si="250"/>
        <v>0</v>
      </c>
      <c r="U378" s="47">
        <f t="shared" ca="1" si="251"/>
        <v>0</v>
      </c>
    </row>
    <row r="379" spans="1:21" ht="18.75" hidden="1" x14ac:dyDescent="0.25">
      <c r="A379" s="129"/>
      <c r="B379" s="160"/>
      <c r="C379" s="160"/>
      <c r="D379" s="160"/>
      <c r="E379" s="158" t="s">
        <v>36</v>
      </c>
      <c r="F379" s="200"/>
      <c r="G379" s="43"/>
      <c r="H379" s="161" t="s">
        <v>14</v>
      </c>
      <c r="I379" s="136"/>
      <c r="J379" s="136"/>
      <c r="K379" s="137"/>
      <c r="L379" s="590">
        <v>0</v>
      </c>
      <c r="M379" s="49">
        <v>0</v>
      </c>
      <c r="N379" s="49">
        <v>0</v>
      </c>
      <c r="O379" s="49">
        <f t="shared" si="247"/>
        <v>0</v>
      </c>
      <c r="P379" s="49">
        <f t="shared" si="248"/>
        <v>0</v>
      </c>
      <c r="Q379" s="49">
        <v>0</v>
      </c>
      <c r="R379" s="49">
        <v>0</v>
      </c>
      <c r="S379" s="49">
        <v>0</v>
      </c>
      <c r="T379" s="49">
        <f t="shared" si="250"/>
        <v>0</v>
      </c>
      <c r="U379" s="49">
        <f t="shared" si="251"/>
        <v>0</v>
      </c>
    </row>
    <row r="380" spans="1:21" ht="18.75" hidden="1" x14ac:dyDescent="0.25">
      <c r="A380" s="129"/>
      <c r="B380" s="160"/>
      <c r="C380" s="160"/>
      <c r="D380" s="160"/>
      <c r="E380" s="496" t="s">
        <v>37</v>
      </c>
      <c r="F380" s="160"/>
      <c r="G380" s="194"/>
      <c r="H380" s="135" t="s">
        <v>14</v>
      </c>
      <c r="I380" s="136"/>
      <c r="J380" s="136"/>
      <c r="K380" s="137"/>
      <c r="L380" s="588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t="shared" ca="1" si="247"/>
        <v>0</v>
      </c>
      <c r="P380" s="47">
        <f t="shared" ca="1" si="248"/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t="shared" ca="1" si="250"/>
        <v>0</v>
      </c>
      <c r="U380" s="47">
        <f t="shared" ca="1" si="251"/>
        <v>0</v>
      </c>
    </row>
    <row r="381" spans="1:21" ht="18.75" hidden="1" x14ac:dyDescent="0.25">
      <c r="A381" s="129"/>
      <c r="B381" s="160"/>
      <c r="C381" s="160"/>
      <c r="D381" s="626" t="s">
        <v>23</v>
      </c>
      <c r="E381" s="200"/>
      <c r="F381" s="200"/>
      <c r="G381" s="43"/>
      <c r="H381" s="138" t="s">
        <v>14</v>
      </c>
      <c r="I381" s="136"/>
      <c r="J381" s="136"/>
      <c r="K381" s="137"/>
      <c r="L381" s="588">
        <f t="shared" ref="L381:N381" ca="1" si="256">L382+L383</f>
        <v>0</v>
      </c>
      <c r="M381" s="47">
        <f t="shared" ca="1" si="256"/>
        <v>0</v>
      </c>
      <c r="N381" s="47">
        <f t="shared" ca="1" si="256"/>
        <v>0</v>
      </c>
      <c r="O381" s="47">
        <f t="shared" ca="1" si="247"/>
        <v>0</v>
      </c>
      <c r="P381" s="47">
        <f t="shared" ca="1" si="248"/>
        <v>0</v>
      </c>
      <c r="Q381" s="47">
        <f t="shared" ref="Q381:S381" si="257">Q382+Q383</f>
        <v>0</v>
      </c>
      <c r="R381" s="47">
        <f t="shared" si="257"/>
        <v>0</v>
      </c>
      <c r="S381" s="47">
        <f t="shared" si="257"/>
        <v>0</v>
      </c>
      <c r="T381" s="47">
        <f t="shared" si="250"/>
        <v>0</v>
      </c>
      <c r="U381" s="47">
        <f t="shared" si="251"/>
        <v>0</v>
      </c>
    </row>
    <row r="382" spans="1:21" ht="18.75" hidden="1" x14ac:dyDescent="0.25">
      <c r="A382" s="129"/>
      <c r="B382" s="160"/>
      <c r="C382" s="160"/>
      <c r="D382" s="160"/>
      <c r="E382" s="158" t="s">
        <v>20</v>
      </c>
      <c r="F382" s="200"/>
      <c r="G382" s="43"/>
      <c r="H382" s="161" t="s">
        <v>14</v>
      </c>
      <c r="I382" s="136"/>
      <c r="J382" s="136"/>
      <c r="K382" s="137"/>
      <c r="L382" s="590">
        <v>0</v>
      </c>
      <c r="M382" s="49">
        <v>0</v>
      </c>
      <c r="N382" s="49">
        <v>0</v>
      </c>
      <c r="O382" s="49">
        <f t="shared" si="247"/>
        <v>0</v>
      </c>
      <c r="P382" s="49">
        <f t="shared" si="248"/>
        <v>0</v>
      </c>
      <c r="Q382" s="49">
        <v>0</v>
      </c>
      <c r="R382" s="49">
        <v>0</v>
      </c>
      <c r="S382" s="49">
        <v>0</v>
      </c>
      <c r="T382" s="49">
        <f t="shared" si="250"/>
        <v>0</v>
      </c>
      <c r="U382" s="49">
        <f t="shared" si="251"/>
        <v>0</v>
      </c>
    </row>
    <row r="383" spans="1:21" ht="18.75" hidden="1" x14ac:dyDescent="0.25">
      <c r="A383" s="129"/>
      <c r="B383" s="160"/>
      <c r="C383" s="160"/>
      <c r="D383" s="160"/>
      <c r="E383" s="271" t="s">
        <v>21</v>
      </c>
      <c r="F383" s="200"/>
      <c r="G383" s="43"/>
      <c r="H383" s="138" t="s">
        <v>14</v>
      </c>
      <c r="I383" s="136"/>
      <c r="J383" s="136"/>
      <c r="K383" s="137"/>
      <c r="L383" s="588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t="shared" ca="1" si="247"/>
        <v>0</v>
      </c>
      <c r="P383" s="47">
        <f t="shared" ca="1" si="248"/>
        <v>0</v>
      </c>
      <c r="Q383" s="47">
        <v>0</v>
      </c>
      <c r="R383" s="47">
        <v>0</v>
      </c>
      <c r="S383" s="47">
        <v>0</v>
      </c>
      <c r="T383" s="47">
        <f t="shared" si="250"/>
        <v>0</v>
      </c>
      <c r="U383" s="47">
        <f t="shared" si="251"/>
        <v>0</v>
      </c>
    </row>
    <row r="384" spans="1:21" ht="19.5" hidden="1" x14ac:dyDescent="0.3">
      <c r="A384" s="139"/>
      <c r="B384" s="140"/>
      <c r="C384" s="367" t="s">
        <v>18</v>
      </c>
      <c r="D384" s="740" t="s">
        <v>38</v>
      </c>
      <c r="E384" s="142"/>
      <c r="F384" s="142"/>
      <c r="G384" s="143"/>
      <c r="H384" s="192"/>
      <c r="I384" s="136"/>
      <c r="J384" s="45"/>
      <c r="K384" s="46"/>
      <c r="L384" s="591"/>
      <c r="M384" s="46"/>
      <c r="N384" s="46"/>
      <c r="O384" s="137"/>
      <c r="P384" s="137"/>
      <c r="Q384" s="46"/>
      <c r="R384" s="46"/>
      <c r="S384" s="46"/>
      <c r="T384" s="137"/>
      <c r="U384" s="137"/>
    </row>
    <row r="385" spans="1:21" ht="18.75" hidden="1" x14ac:dyDescent="0.25">
      <c r="A385" s="225"/>
      <c r="B385" s="160"/>
      <c r="C385" s="160"/>
      <c r="D385" s="160"/>
      <c r="E385" s="271" t="s">
        <v>158</v>
      </c>
      <c r="F385" s="200"/>
      <c r="G385" s="43"/>
      <c r="H385" s="134" t="s">
        <v>34</v>
      </c>
      <c r="I385" s="372">
        <f ca="1">IFERROR(__xludf.DUMMYFUNCTION("IMPORTRANGE(""https://docs.google.com/spreadsheets/d/1eHaY18a8A9IcSdp1K8H6x8fbOy06t2VsZHhMHf-1x7Y/edit?usp=sharing"",""แผน!JQ82"")"),0)</f>
        <v>0</v>
      </c>
      <c r="J385" s="372">
        <v>0</v>
      </c>
      <c r="K385" s="47">
        <f t="shared" ref="K385:K388" ca="1" si="258">IF(I385&gt;0,J385*100/I385,0)</f>
        <v>0</v>
      </c>
      <c r="L385" s="591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225"/>
      <c r="B386" s="160"/>
      <c r="C386" s="160"/>
      <c r="D386" s="160"/>
      <c r="E386" s="160"/>
      <c r="F386" s="160"/>
      <c r="G386" s="194"/>
      <c r="H386" s="134" t="s">
        <v>46</v>
      </c>
      <c r="I386" s="372">
        <f ca="1">IFERROR(__xludf.DUMMYFUNCTION("IMPORTRANGE(""https://docs.google.com/spreadsheets/d/1eHaY18a8A9IcSdp1K8H6x8fbOy06t2VsZHhMHf-1x7Y/edit?usp=sharing"",""แผน!JQ82"")"),0)</f>
        <v>0</v>
      </c>
      <c r="J386" s="372">
        <v>0</v>
      </c>
      <c r="K386" s="47">
        <f t="shared" ca="1" si="258"/>
        <v>0</v>
      </c>
      <c r="L386" s="591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225"/>
      <c r="B387" s="160"/>
      <c r="C387" s="160"/>
      <c r="D387" s="160"/>
      <c r="E387" s="511" t="s">
        <v>159</v>
      </c>
      <c r="F387" s="160"/>
      <c r="G387" s="194"/>
      <c r="H387" s="159" t="s">
        <v>34</v>
      </c>
      <c r="I387" s="517">
        <v>0</v>
      </c>
      <c r="J387" s="517">
        <v>0</v>
      </c>
      <c r="K387" s="49">
        <f t="shared" si="258"/>
        <v>0</v>
      </c>
      <c r="L387" s="591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225"/>
      <c r="B388" s="160"/>
      <c r="C388" s="160"/>
      <c r="D388" s="160"/>
      <c r="E388" s="160"/>
      <c r="F388" s="160"/>
      <c r="G388" s="194"/>
      <c r="H388" s="159" t="s">
        <v>46</v>
      </c>
      <c r="I388" s="517">
        <v>0</v>
      </c>
      <c r="J388" s="517">
        <v>0</v>
      </c>
      <c r="K388" s="49">
        <f t="shared" si="258"/>
        <v>0</v>
      </c>
      <c r="L388" s="591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50"/>
      <c r="B389" s="251"/>
      <c r="C389" s="251"/>
      <c r="D389" s="251"/>
      <c r="E389" s="251"/>
      <c r="F389" s="251"/>
      <c r="G389" s="254"/>
      <c r="H389" s="254"/>
      <c r="I389" s="255">
        <v>0</v>
      </c>
      <c r="J389" s="255">
        <v>0</v>
      </c>
      <c r="K389" s="256"/>
      <c r="L389" s="743"/>
      <c r="M389" s="256"/>
      <c r="N389" s="256"/>
      <c r="O389" s="256"/>
      <c r="P389" s="256"/>
      <c r="Q389" s="256"/>
      <c r="R389" s="256"/>
      <c r="S389" s="256"/>
      <c r="T389" s="256"/>
      <c r="U389" s="256"/>
    </row>
    <row r="390" spans="1:21" ht="12.75" hidden="1" x14ac:dyDescent="0.2">
      <c r="A390" s="404"/>
      <c r="B390" s="354"/>
      <c r="C390" s="354"/>
      <c r="D390" s="354"/>
      <c r="E390" s="354"/>
      <c r="F390" s="354"/>
      <c r="G390" s="355"/>
      <c r="H390" s="355"/>
      <c r="I390" s="356">
        <v>0</v>
      </c>
      <c r="J390" s="356">
        <v>0</v>
      </c>
      <c r="K390" s="357"/>
      <c r="L390" s="744"/>
      <c r="M390" s="357"/>
      <c r="N390" s="357"/>
      <c r="O390" s="357"/>
      <c r="P390" s="357"/>
      <c r="Q390" s="357"/>
      <c r="R390" s="357"/>
      <c r="S390" s="357"/>
      <c r="T390" s="357"/>
      <c r="U390" s="357"/>
    </row>
    <row r="391" spans="1:21" ht="19.5" hidden="1" x14ac:dyDescent="0.3">
      <c r="A391" s="324"/>
      <c r="B391" s="343" t="s">
        <v>160</v>
      </c>
      <c r="C391" s="325"/>
      <c r="D391" s="326"/>
      <c r="E391" s="318"/>
      <c r="F391" s="318"/>
      <c r="G391" s="319"/>
      <c r="H391" s="344" t="s">
        <v>61</v>
      </c>
      <c r="I391" s="339">
        <f t="shared" ref="I391:J391" si="259">I402</f>
        <v>0</v>
      </c>
      <c r="J391" s="339">
        <f t="shared" si="259"/>
        <v>0</v>
      </c>
      <c r="K391" s="322">
        <f>IF(I391&gt;0,J391*100/I391,0)</f>
        <v>0</v>
      </c>
      <c r="L391" s="708"/>
      <c r="M391" s="323"/>
      <c r="N391" s="323"/>
      <c r="O391" s="323"/>
      <c r="P391" s="323"/>
      <c r="Q391" s="323"/>
      <c r="R391" s="323"/>
      <c r="S391" s="323"/>
      <c r="T391" s="323"/>
      <c r="U391" s="323"/>
    </row>
    <row r="392" spans="1:21" ht="19.5" hidden="1" x14ac:dyDescent="0.3">
      <c r="A392" s="129"/>
      <c r="B392" s="160"/>
      <c r="C392" s="367" t="s">
        <v>18</v>
      </c>
      <c r="D392" s="739" t="s">
        <v>19</v>
      </c>
      <c r="E392" s="200"/>
      <c r="F392" s="200"/>
      <c r="G392" s="43"/>
      <c r="H392" s="132" t="s">
        <v>14</v>
      </c>
      <c r="I392" s="45"/>
      <c r="J392" s="45"/>
      <c r="K392" s="46"/>
      <c r="L392" s="617">
        <f t="shared" ref="L392:N392" si="260">L393+L394</f>
        <v>0</v>
      </c>
      <c r="M392" s="133">
        <f t="shared" si="260"/>
        <v>0</v>
      </c>
      <c r="N392" s="133">
        <f t="shared" si="260"/>
        <v>0</v>
      </c>
      <c r="O392" s="133">
        <f t="shared" ref="O392:O400" si="261">IF(L392&gt;0,N392*100/L392,0)</f>
        <v>0</v>
      </c>
      <c r="P392" s="133">
        <f t="shared" ref="P392:P400" si="262">IF(M392&gt;0,N392*100/M392,0)</f>
        <v>0</v>
      </c>
      <c r="Q392" s="133">
        <f t="shared" ref="Q392:S392" ca="1" si="263">Q393+Q394</f>
        <v>0</v>
      </c>
      <c r="R392" s="133">
        <f t="shared" ca="1" si="263"/>
        <v>0</v>
      </c>
      <c r="S392" s="133">
        <f t="shared" ca="1" si="263"/>
        <v>0</v>
      </c>
      <c r="T392" s="133">
        <f t="shared" ref="T392:T400" ca="1" si="264">IF(Q392&gt;0,S392*100/Q392,0)</f>
        <v>0</v>
      </c>
      <c r="U392" s="133">
        <f t="shared" ref="U392:U400" ca="1" si="265">IF(R392&gt;0,S392*100/R392,0)</f>
        <v>0</v>
      </c>
    </row>
    <row r="393" spans="1:21" ht="18.75" hidden="1" x14ac:dyDescent="0.25">
      <c r="A393" s="129"/>
      <c r="B393" s="160"/>
      <c r="C393" s="160"/>
      <c r="D393" s="160"/>
      <c r="E393" s="158" t="s">
        <v>20</v>
      </c>
      <c r="F393" s="200"/>
      <c r="G393" s="43"/>
      <c r="H393" s="159" t="s">
        <v>14</v>
      </c>
      <c r="I393" s="45"/>
      <c r="J393" s="45"/>
      <c r="K393" s="46"/>
      <c r="L393" s="590">
        <f t="shared" ref="L393:N394" si="266">L396+L399</f>
        <v>0</v>
      </c>
      <c r="M393" s="49">
        <f t="shared" si="266"/>
        <v>0</v>
      </c>
      <c r="N393" s="49">
        <f t="shared" si="266"/>
        <v>0</v>
      </c>
      <c r="O393" s="49">
        <f t="shared" si="261"/>
        <v>0</v>
      </c>
      <c r="P393" s="49">
        <f t="shared" si="262"/>
        <v>0</v>
      </c>
      <c r="Q393" s="49">
        <f t="shared" ref="Q393:S394" si="267">Q396+Q399</f>
        <v>0</v>
      </c>
      <c r="R393" s="49">
        <f t="shared" si="267"/>
        <v>0</v>
      </c>
      <c r="S393" s="49">
        <f t="shared" si="267"/>
        <v>0</v>
      </c>
      <c r="T393" s="49">
        <f t="shared" si="264"/>
        <v>0</v>
      </c>
      <c r="U393" s="49">
        <f t="shared" si="265"/>
        <v>0</v>
      </c>
    </row>
    <row r="394" spans="1:21" ht="18.75" hidden="1" x14ac:dyDescent="0.25">
      <c r="A394" s="129"/>
      <c r="B394" s="160"/>
      <c r="C394" s="160"/>
      <c r="D394" s="160"/>
      <c r="E394" s="271" t="s">
        <v>21</v>
      </c>
      <c r="F394" s="200"/>
      <c r="G394" s="43"/>
      <c r="H394" s="134" t="s">
        <v>14</v>
      </c>
      <c r="I394" s="45"/>
      <c r="J394" s="45"/>
      <c r="K394" s="46"/>
      <c r="L394" s="588">
        <f t="shared" si="266"/>
        <v>0</v>
      </c>
      <c r="M394" s="47">
        <f t="shared" si="266"/>
        <v>0</v>
      </c>
      <c r="N394" s="47">
        <f t="shared" si="266"/>
        <v>0</v>
      </c>
      <c r="O394" s="47">
        <f t="shared" si="261"/>
        <v>0</v>
      </c>
      <c r="P394" s="47">
        <f t="shared" si="262"/>
        <v>0</v>
      </c>
      <c r="Q394" s="47">
        <f t="shared" ca="1" si="267"/>
        <v>0</v>
      </c>
      <c r="R394" s="47">
        <f t="shared" ca="1" si="267"/>
        <v>0</v>
      </c>
      <c r="S394" s="47">
        <f t="shared" ca="1" si="267"/>
        <v>0</v>
      </c>
      <c r="T394" s="47">
        <f t="shared" ca="1" si="264"/>
        <v>0</v>
      </c>
      <c r="U394" s="47">
        <f t="shared" ca="1" si="265"/>
        <v>0</v>
      </c>
    </row>
    <row r="395" spans="1:21" ht="18.75" hidden="1" x14ac:dyDescent="0.25">
      <c r="A395" s="129"/>
      <c r="B395" s="160"/>
      <c r="C395" s="160"/>
      <c r="D395" s="626" t="s">
        <v>22</v>
      </c>
      <c r="E395" s="200"/>
      <c r="F395" s="200"/>
      <c r="G395" s="43"/>
      <c r="H395" s="135" t="s">
        <v>14</v>
      </c>
      <c r="I395" s="136"/>
      <c r="J395" s="136"/>
      <c r="K395" s="137"/>
      <c r="L395" s="588">
        <f t="shared" ref="L395:N395" si="268">L396+L397</f>
        <v>0</v>
      </c>
      <c r="M395" s="47">
        <f t="shared" si="268"/>
        <v>0</v>
      </c>
      <c r="N395" s="47">
        <f t="shared" si="268"/>
        <v>0</v>
      </c>
      <c r="O395" s="47">
        <f t="shared" si="261"/>
        <v>0</v>
      </c>
      <c r="P395" s="47">
        <f t="shared" si="262"/>
        <v>0</v>
      </c>
      <c r="Q395" s="47">
        <f t="shared" ref="Q395:S395" ca="1" si="269">Q396+Q397</f>
        <v>0</v>
      </c>
      <c r="R395" s="47">
        <f t="shared" ca="1" si="269"/>
        <v>0</v>
      </c>
      <c r="S395" s="47">
        <f t="shared" ca="1" si="269"/>
        <v>0</v>
      </c>
      <c r="T395" s="47">
        <f t="shared" ca="1" si="264"/>
        <v>0</v>
      </c>
      <c r="U395" s="47">
        <f t="shared" ca="1" si="265"/>
        <v>0</v>
      </c>
    </row>
    <row r="396" spans="1:21" ht="18.75" hidden="1" x14ac:dyDescent="0.25">
      <c r="A396" s="129"/>
      <c r="B396" s="160"/>
      <c r="C396" s="160"/>
      <c r="D396" s="160"/>
      <c r="E396" s="158" t="s">
        <v>36</v>
      </c>
      <c r="F396" s="200"/>
      <c r="G396" s="43"/>
      <c r="H396" s="161" t="s">
        <v>14</v>
      </c>
      <c r="I396" s="136"/>
      <c r="J396" s="136"/>
      <c r="K396" s="137"/>
      <c r="L396" s="590">
        <v>0</v>
      </c>
      <c r="M396" s="49">
        <v>0</v>
      </c>
      <c r="N396" s="49">
        <v>0</v>
      </c>
      <c r="O396" s="49">
        <f t="shared" si="261"/>
        <v>0</v>
      </c>
      <c r="P396" s="49">
        <f t="shared" si="262"/>
        <v>0</v>
      </c>
      <c r="Q396" s="49">
        <v>0</v>
      </c>
      <c r="R396" s="49">
        <v>0</v>
      </c>
      <c r="S396" s="49">
        <v>0</v>
      </c>
      <c r="T396" s="49">
        <f t="shared" si="264"/>
        <v>0</v>
      </c>
      <c r="U396" s="49">
        <f t="shared" si="265"/>
        <v>0</v>
      </c>
    </row>
    <row r="397" spans="1:21" ht="18.75" hidden="1" x14ac:dyDescent="0.25">
      <c r="A397" s="129"/>
      <c r="B397" s="160"/>
      <c r="C397" s="160"/>
      <c r="D397" s="160"/>
      <c r="E397" s="496" t="s">
        <v>37</v>
      </c>
      <c r="F397" s="160"/>
      <c r="G397" s="194"/>
      <c r="H397" s="135" t="s">
        <v>14</v>
      </c>
      <c r="I397" s="136"/>
      <c r="J397" s="136"/>
      <c r="K397" s="137"/>
      <c r="L397" s="588">
        <v>0</v>
      </c>
      <c r="M397" s="47">
        <v>0</v>
      </c>
      <c r="N397" s="47">
        <v>0</v>
      </c>
      <c r="O397" s="47">
        <f t="shared" si="261"/>
        <v>0</v>
      </c>
      <c r="P397" s="47">
        <f t="shared" si="262"/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t="shared" ca="1" si="264"/>
        <v>0</v>
      </c>
      <c r="U397" s="47">
        <f t="shared" ca="1" si="265"/>
        <v>0</v>
      </c>
    </row>
    <row r="398" spans="1:21" ht="18.75" hidden="1" x14ac:dyDescent="0.25">
      <c r="A398" s="129"/>
      <c r="B398" s="160"/>
      <c r="C398" s="160"/>
      <c r="D398" s="626" t="s">
        <v>23</v>
      </c>
      <c r="E398" s="200"/>
      <c r="F398" s="200"/>
      <c r="G398" s="43"/>
      <c r="H398" s="138" t="s">
        <v>14</v>
      </c>
      <c r="I398" s="136"/>
      <c r="J398" s="136"/>
      <c r="K398" s="137"/>
      <c r="L398" s="588">
        <f t="shared" ref="L398:N398" si="270">L399+L400</f>
        <v>0</v>
      </c>
      <c r="M398" s="47">
        <f t="shared" si="270"/>
        <v>0</v>
      </c>
      <c r="N398" s="47">
        <f t="shared" si="270"/>
        <v>0</v>
      </c>
      <c r="O398" s="47">
        <f t="shared" si="261"/>
        <v>0</v>
      </c>
      <c r="P398" s="47">
        <f t="shared" si="262"/>
        <v>0</v>
      </c>
      <c r="Q398" s="47">
        <f t="shared" ref="Q398:S398" si="271">Q399+Q400</f>
        <v>0</v>
      </c>
      <c r="R398" s="47">
        <f t="shared" si="271"/>
        <v>0</v>
      </c>
      <c r="S398" s="47">
        <f t="shared" si="271"/>
        <v>0</v>
      </c>
      <c r="T398" s="47">
        <f t="shared" si="264"/>
        <v>0</v>
      </c>
      <c r="U398" s="47">
        <f t="shared" si="265"/>
        <v>0</v>
      </c>
    </row>
    <row r="399" spans="1:21" ht="18.75" hidden="1" x14ac:dyDescent="0.25">
      <c r="A399" s="129"/>
      <c r="B399" s="160"/>
      <c r="C399" s="160"/>
      <c r="D399" s="160"/>
      <c r="E399" s="158" t="s">
        <v>20</v>
      </c>
      <c r="F399" s="200"/>
      <c r="G399" s="43"/>
      <c r="H399" s="161" t="s">
        <v>14</v>
      </c>
      <c r="I399" s="136"/>
      <c r="J399" s="136"/>
      <c r="K399" s="137"/>
      <c r="L399" s="590">
        <v>0</v>
      </c>
      <c r="M399" s="49">
        <v>0</v>
      </c>
      <c r="N399" s="49">
        <v>0</v>
      </c>
      <c r="O399" s="49">
        <f t="shared" si="261"/>
        <v>0</v>
      </c>
      <c r="P399" s="49">
        <f t="shared" si="262"/>
        <v>0</v>
      </c>
      <c r="Q399" s="49">
        <v>0</v>
      </c>
      <c r="R399" s="49">
        <v>0</v>
      </c>
      <c r="S399" s="49">
        <v>0</v>
      </c>
      <c r="T399" s="49">
        <f t="shared" si="264"/>
        <v>0</v>
      </c>
      <c r="U399" s="49">
        <f t="shared" si="265"/>
        <v>0</v>
      </c>
    </row>
    <row r="400" spans="1:21" ht="18.75" hidden="1" x14ac:dyDescent="0.25">
      <c r="A400" s="129"/>
      <c r="B400" s="160"/>
      <c r="C400" s="160"/>
      <c r="D400" s="160"/>
      <c r="E400" s="271" t="s">
        <v>21</v>
      </c>
      <c r="F400" s="200"/>
      <c r="G400" s="43"/>
      <c r="H400" s="138" t="s">
        <v>14</v>
      </c>
      <c r="I400" s="136"/>
      <c r="J400" s="136"/>
      <c r="K400" s="137"/>
      <c r="L400" s="588">
        <v>0</v>
      </c>
      <c r="M400" s="47">
        <v>0</v>
      </c>
      <c r="N400" s="47">
        <v>0</v>
      </c>
      <c r="O400" s="47">
        <f t="shared" si="261"/>
        <v>0</v>
      </c>
      <c r="P400" s="47">
        <f t="shared" si="262"/>
        <v>0</v>
      </c>
      <c r="Q400" s="47">
        <v>0</v>
      </c>
      <c r="R400" s="47">
        <v>0</v>
      </c>
      <c r="S400" s="47">
        <v>0</v>
      </c>
      <c r="T400" s="47">
        <f t="shared" si="264"/>
        <v>0</v>
      </c>
      <c r="U400" s="47">
        <f t="shared" si="265"/>
        <v>0</v>
      </c>
    </row>
    <row r="401" spans="1:21" ht="19.5" hidden="1" x14ac:dyDescent="0.3">
      <c r="A401" s="139"/>
      <c r="B401" s="140"/>
      <c r="C401" s="367" t="s">
        <v>18</v>
      </c>
      <c r="D401" s="740" t="s">
        <v>38</v>
      </c>
      <c r="E401" s="142"/>
      <c r="F401" s="142"/>
      <c r="G401" s="143"/>
      <c r="H401" s="192"/>
      <c r="I401" s="136"/>
      <c r="J401" s="45"/>
      <c r="K401" s="46"/>
      <c r="L401" s="591"/>
      <c r="M401" s="46"/>
      <c r="N401" s="46"/>
      <c r="O401" s="137"/>
      <c r="P401" s="137"/>
      <c r="Q401" s="46"/>
      <c r="R401" s="46"/>
      <c r="S401" s="46"/>
      <c r="T401" s="137"/>
      <c r="U401" s="137"/>
    </row>
    <row r="402" spans="1:21" ht="12.75" hidden="1" x14ac:dyDescent="0.2">
      <c r="A402" s="250"/>
      <c r="B402" s="251"/>
      <c r="C402" s="251"/>
      <c r="D402" s="251"/>
      <c r="E402" s="252"/>
      <c r="F402" s="252"/>
      <c r="G402" s="253"/>
      <c r="H402" s="254"/>
      <c r="I402" s="255"/>
      <c r="J402" s="255"/>
      <c r="K402" s="256"/>
      <c r="L402" s="743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ht="12.75" hidden="1" x14ac:dyDescent="0.2">
      <c r="A403" s="250"/>
      <c r="B403" s="251"/>
      <c r="C403" s="251"/>
      <c r="D403" s="251"/>
      <c r="E403" s="251"/>
      <c r="F403" s="251"/>
      <c r="G403" s="254"/>
      <c r="H403" s="254"/>
      <c r="I403" s="255"/>
      <c r="J403" s="255"/>
      <c r="K403" s="256"/>
      <c r="L403" s="743"/>
      <c r="M403" s="256"/>
      <c r="N403" s="256"/>
      <c r="O403" s="256"/>
      <c r="P403" s="256"/>
      <c r="Q403" s="256"/>
      <c r="R403" s="256"/>
      <c r="S403" s="256"/>
      <c r="T403" s="256"/>
      <c r="U403" s="256"/>
    </row>
    <row r="404" spans="1:21" ht="12.75" hidden="1" x14ac:dyDescent="0.2">
      <c r="A404" s="250"/>
      <c r="B404" s="251"/>
      <c r="C404" s="251"/>
      <c r="D404" s="251"/>
      <c r="E404" s="251"/>
      <c r="F404" s="251"/>
      <c r="G404" s="254"/>
      <c r="H404" s="254"/>
      <c r="I404" s="255"/>
      <c r="J404" s="255"/>
      <c r="K404" s="256"/>
      <c r="L404" s="743"/>
      <c r="M404" s="256"/>
      <c r="N404" s="256"/>
      <c r="O404" s="256"/>
      <c r="P404" s="256"/>
      <c r="Q404" s="256"/>
      <c r="R404" s="256"/>
      <c r="S404" s="256"/>
      <c r="T404" s="256"/>
      <c r="U404" s="256"/>
    </row>
    <row r="405" spans="1:21" ht="12.75" hidden="1" x14ac:dyDescent="0.2">
      <c r="A405" s="250"/>
      <c r="B405" s="251"/>
      <c r="C405" s="251"/>
      <c r="D405" s="251"/>
      <c r="E405" s="251"/>
      <c r="F405" s="251"/>
      <c r="G405" s="254"/>
      <c r="H405" s="254"/>
      <c r="I405" s="255"/>
      <c r="J405" s="255"/>
      <c r="K405" s="256"/>
      <c r="L405" s="743"/>
      <c r="M405" s="256"/>
      <c r="N405" s="256"/>
      <c r="O405" s="256"/>
      <c r="P405" s="256"/>
      <c r="Q405" s="256"/>
      <c r="R405" s="256"/>
      <c r="S405" s="256"/>
      <c r="T405" s="256"/>
      <c r="U405" s="256"/>
    </row>
    <row r="406" spans="1:21" ht="12.75" hidden="1" x14ac:dyDescent="0.2">
      <c r="A406" s="250"/>
      <c r="B406" s="251"/>
      <c r="C406" s="251"/>
      <c r="D406" s="251"/>
      <c r="E406" s="251"/>
      <c r="F406" s="251"/>
      <c r="G406" s="254"/>
      <c r="H406" s="254"/>
      <c r="I406" s="255"/>
      <c r="J406" s="255"/>
      <c r="K406" s="256"/>
      <c r="L406" s="743"/>
      <c r="M406" s="256"/>
      <c r="N406" s="256"/>
      <c r="O406" s="256"/>
      <c r="P406" s="256"/>
      <c r="Q406" s="256"/>
      <c r="R406" s="256"/>
      <c r="S406" s="256"/>
      <c r="T406" s="256"/>
      <c r="U406" s="256"/>
    </row>
    <row r="407" spans="1:21" ht="12.75" hidden="1" x14ac:dyDescent="0.2">
      <c r="A407" s="250"/>
      <c r="B407" s="251"/>
      <c r="C407" s="251"/>
      <c r="D407" s="251"/>
      <c r="E407" s="251"/>
      <c r="F407" s="251"/>
      <c r="G407" s="254"/>
      <c r="H407" s="254"/>
      <c r="I407" s="255"/>
      <c r="J407" s="255"/>
      <c r="K407" s="256"/>
      <c r="L407" s="743"/>
      <c r="M407" s="256"/>
      <c r="N407" s="256"/>
      <c r="O407" s="256"/>
      <c r="P407" s="256"/>
      <c r="Q407" s="256"/>
      <c r="R407" s="256"/>
      <c r="S407" s="256"/>
      <c r="T407" s="256"/>
      <c r="U407" s="256"/>
    </row>
    <row r="408" spans="1:21" ht="12.75" hidden="1" x14ac:dyDescent="0.2">
      <c r="A408" s="250"/>
      <c r="B408" s="251"/>
      <c r="C408" s="251"/>
      <c r="D408" s="251"/>
      <c r="E408" s="251"/>
      <c r="F408" s="251"/>
      <c r="G408" s="254"/>
      <c r="H408" s="254"/>
      <c r="I408" s="255"/>
      <c r="J408" s="255"/>
      <c r="K408" s="256"/>
      <c r="L408" s="743"/>
      <c r="M408" s="256"/>
      <c r="N408" s="256"/>
      <c r="O408" s="256"/>
      <c r="P408" s="256"/>
      <c r="Q408" s="256"/>
      <c r="R408" s="256"/>
      <c r="S408" s="256"/>
      <c r="T408" s="256"/>
      <c r="U408" s="256"/>
    </row>
    <row r="409" spans="1:21" ht="12.75" hidden="1" x14ac:dyDescent="0.2">
      <c r="A409" s="250"/>
      <c r="B409" s="251"/>
      <c r="C409" s="251"/>
      <c r="D409" s="251"/>
      <c r="E409" s="251"/>
      <c r="F409" s="251"/>
      <c r="G409" s="254"/>
      <c r="H409" s="254"/>
      <c r="I409" s="255"/>
      <c r="J409" s="255"/>
      <c r="K409" s="256"/>
      <c r="L409" s="743"/>
      <c r="M409" s="256"/>
      <c r="N409" s="256"/>
      <c r="O409" s="256"/>
      <c r="P409" s="256"/>
      <c r="Q409" s="256"/>
      <c r="R409" s="256"/>
      <c r="S409" s="256"/>
      <c r="T409" s="256"/>
      <c r="U409" s="256"/>
    </row>
    <row r="410" spans="1:21" ht="12.75" hidden="1" x14ac:dyDescent="0.2">
      <c r="A410" s="250"/>
      <c r="B410" s="251"/>
      <c r="C410" s="251"/>
      <c r="D410" s="251"/>
      <c r="E410" s="251"/>
      <c r="F410" s="251"/>
      <c r="G410" s="254"/>
      <c r="H410" s="254"/>
      <c r="I410" s="255"/>
      <c r="J410" s="255"/>
      <c r="K410" s="256"/>
      <c r="L410" s="743"/>
      <c r="M410" s="256"/>
      <c r="N410" s="256"/>
      <c r="O410" s="256"/>
      <c r="P410" s="256"/>
      <c r="Q410" s="256"/>
      <c r="R410" s="256"/>
      <c r="S410" s="256"/>
      <c r="T410" s="256"/>
      <c r="U410" s="256"/>
    </row>
    <row r="411" spans="1:21" ht="12.75" hidden="1" x14ac:dyDescent="0.2">
      <c r="A411" s="404"/>
      <c r="B411" s="354"/>
      <c r="C411" s="354"/>
      <c r="D411" s="354"/>
      <c r="E411" s="354"/>
      <c r="F411" s="354"/>
      <c r="G411" s="355"/>
      <c r="H411" s="355"/>
      <c r="I411" s="356"/>
      <c r="J411" s="356"/>
      <c r="K411" s="357"/>
      <c r="L411" s="744"/>
      <c r="M411" s="357"/>
      <c r="N411" s="357"/>
      <c r="O411" s="357"/>
      <c r="P411" s="357"/>
      <c r="Q411" s="357"/>
      <c r="R411" s="357"/>
      <c r="S411" s="357"/>
      <c r="T411" s="357"/>
      <c r="U411" s="357"/>
    </row>
    <row r="412" spans="1:21" ht="19.5" x14ac:dyDescent="0.3">
      <c r="A412" s="316"/>
      <c r="B412" s="343" t="s">
        <v>161</v>
      </c>
      <c r="C412" s="326"/>
      <c r="D412" s="326"/>
      <c r="E412" s="326"/>
      <c r="F412" s="326"/>
      <c r="G412" s="359"/>
      <c r="H412" s="360" t="s">
        <v>46</v>
      </c>
      <c r="I412" s="321">
        <f t="shared" ref="I412:J412" ca="1" si="272">I423</f>
        <v>0</v>
      </c>
      <c r="J412" s="321">
        <f t="shared" si="272"/>
        <v>0</v>
      </c>
      <c r="K412" s="322">
        <f ca="1">IF(I412&gt;0,J412*100/I412,0)</f>
        <v>0</v>
      </c>
      <c r="L412" s="708"/>
      <c r="M412" s="323"/>
      <c r="N412" s="323"/>
      <c r="O412" s="323"/>
      <c r="P412" s="323"/>
      <c r="Q412" s="323"/>
      <c r="R412" s="323"/>
      <c r="S412" s="323"/>
      <c r="T412" s="323"/>
      <c r="U412" s="323"/>
    </row>
    <row r="413" spans="1:21" ht="19.5" x14ac:dyDescent="0.3">
      <c r="A413" s="129"/>
      <c r="B413" s="160"/>
      <c r="C413" s="409" t="s">
        <v>18</v>
      </c>
      <c r="D413" s="745" t="s">
        <v>19</v>
      </c>
      <c r="E413" s="544"/>
      <c r="F413" s="544"/>
      <c r="G413" s="557"/>
      <c r="H413" s="362" t="s">
        <v>14</v>
      </c>
      <c r="I413" s="45"/>
      <c r="J413" s="45"/>
      <c r="K413" s="46"/>
      <c r="L413" s="617">
        <f t="shared" ref="L413:N413" ca="1" si="273">L414+L415</f>
        <v>40030</v>
      </c>
      <c r="M413" s="133">
        <f t="shared" ca="1" si="273"/>
        <v>40030</v>
      </c>
      <c r="N413" s="133">
        <f t="shared" ca="1" si="273"/>
        <v>29398.93</v>
      </c>
      <c r="O413" s="133">
        <f t="shared" ref="O413:O421" ca="1" si="274">IF(L413&gt;0,N413*100/L413,0)</f>
        <v>73.442243317511867</v>
      </c>
      <c r="P413" s="133">
        <f t="shared" ref="P413:P421" ca="1" si="275">IF(M413&gt;0,N413*100/M413,0)</f>
        <v>73.442243317511867</v>
      </c>
      <c r="Q413" s="133">
        <f t="shared" ref="Q413:S413" ca="1" si="276">Q414+Q415</f>
        <v>15820</v>
      </c>
      <c r="R413" s="133">
        <f t="shared" ca="1" si="276"/>
        <v>0</v>
      </c>
      <c r="S413" s="133">
        <f t="shared" ca="1" si="276"/>
        <v>0</v>
      </c>
      <c r="T413" s="133">
        <f t="shared" ref="T413:T421" ca="1" si="277">IF(Q413&gt;0,S413*100/Q413,0)</f>
        <v>0</v>
      </c>
      <c r="U413" s="133">
        <f t="shared" ref="U413:U421" ca="1" si="278">IF(R413&gt;0,S413*100/R413,0)</f>
        <v>0</v>
      </c>
    </row>
    <row r="414" spans="1:21" ht="18.75" hidden="1" x14ac:dyDescent="0.25">
      <c r="A414" s="129"/>
      <c r="B414" s="160"/>
      <c r="C414" s="160"/>
      <c r="D414" s="333"/>
      <c r="E414" s="363" t="s">
        <v>162</v>
      </c>
      <c r="F414" s="333"/>
      <c r="G414" s="364"/>
      <c r="H414" s="190" t="s">
        <v>14</v>
      </c>
      <c r="I414" s="45"/>
      <c r="J414" s="45"/>
      <c r="K414" s="46"/>
      <c r="L414" s="590">
        <f t="shared" ref="L414:N415" si="279">L417+L420</f>
        <v>0</v>
      </c>
      <c r="M414" s="49">
        <f t="shared" si="279"/>
        <v>0</v>
      </c>
      <c r="N414" s="49">
        <f t="shared" si="279"/>
        <v>0</v>
      </c>
      <c r="O414" s="49">
        <f t="shared" si="274"/>
        <v>0</v>
      </c>
      <c r="P414" s="49">
        <f t="shared" si="275"/>
        <v>0</v>
      </c>
      <c r="Q414" s="49">
        <f t="shared" ref="Q414:S415" si="280">Q417+Q420</f>
        <v>0</v>
      </c>
      <c r="R414" s="49">
        <f t="shared" si="280"/>
        <v>0</v>
      </c>
      <c r="S414" s="49">
        <f t="shared" si="280"/>
        <v>0</v>
      </c>
      <c r="T414" s="49">
        <f t="shared" si="277"/>
        <v>0</v>
      </c>
      <c r="U414" s="49">
        <f t="shared" si="278"/>
        <v>0</v>
      </c>
    </row>
    <row r="415" spans="1:21" ht="18.75" hidden="1" x14ac:dyDescent="0.25">
      <c r="A415" s="129"/>
      <c r="B415" s="160"/>
      <c r="C415" s="160"/>
      <c r="D415" s="160"/>
      <c r="E415" s="496" t="s">
        <v>163</v>
      </c>
      <c r="F415" s="160"/>
      <c r="G415" s="194"/>
      <c r="H415" s="189" t="s">
        <v>14</v>
      </c>
      <c r="I415" s="45"/>
      <c r="J415" s="45"/>
      <c r="K415" s="46"/>
      <c r="L415" s="588">
        <f t="shared" ca="1" si="279"/>
        <v>40030</v>
      </c>
      <c r="M415" s="47">
        <f t="shared" ca="1" si="279"/>
        <v>40030</v>
      </c>
      <c r="N415" s="47">
        <f t="shared" ca="1" si="279"/>
        <v>29398.93</v>
      </c>
      <c r="O415" s="47">
        <f t="shared" ca="1" si="274"/>
        <v>73.442243317511867</v>
      </c>
      <c r="P415" s="47">
        <f t="shared" ca="1" si="275"/>
        <v>73.442243317511867</v>
      </c>
      <c r="Q415" s="47">
        <f t="shared" ca="1" si="280"/>
        <v>15820</v>
      </c>
      <c r="R415" s="47">
        <f t="shared" ca="1" si="280"/>
        <v>0</v>
      </c>
      <c r="S415" s="47">
        <f t="shared" ca="1" si="280"/>
        <v>0</v>
      </c>
      <c r="T415" s="47">
        <f t="shared" ca="1" si="277"/>
        <v>0</v>
      </c>
      <c r="U415" s="47">
        <f t="shared" ca="1" si="278"/>
        <v>0</v>
      </c>
    </row>
    <row r="416" spans="1:21" ht="18.75" x14ac:dyDescent="0.25">
      <c r="A416" s="129"/>
      <c r="B416" s="160"/>
      <c r="C416" s="160"/>
      <c r="D416" s="626" t="s">
        <v>22</v>
      </c>
      <c r="E416" s="160"/>
      <c r="F416" s="160"/>
      <c r="G416" s="194"/>
      <c r="H416" s="189" t="s">
        <v>14</v>
      </c>
      <c r="I416" s="45"/>
      <c r="J416" s="45"/>
      <c r="K416" s="46"/>
      <c r="L416" s="588">
        <f t="shared" ref="L416:N416" ca="1" si="281">L417+L418</f>
        <v>40030</v>
      </c>
      <c r="M416" s="47">
        <f t="shared" ca="1" si="281"/>
        <v>40030</v>
      </c>
      <c r="N416" s="47">
        <f t="shared" ca="1" si="281"/>
        <v>29398.93</v>
      </c>
      <c r="O416" s="47">
        <f t="shared" ca="1" si="274"/>
        <v>73.442243317511867</v>
      </c>
      <c r="P416" s="47">
        <f t="shared" ca="1" si="275"/>
        <v>73.442243317511867</v>
      </c>
      <c r="Q416" s="47">
        <f t="shared" ref="Q416:S416" ca="1" si="282">Q417+Q418</f>
        <v>15820</v>
      </c>
      <c r="R416" s="47">
        <f t="shared" ca="1" si="282"/>
        <v>0</v>
      </c>
      <c r="S416" s="47">
        <f t="shared" ca="1" si="282"/>
        <v>0</v>
      </c>
      <c r="T416" s="47">
        <f t="shared" ca="1" si="277"/>
        <v>0</v>
      </c>
      <c r="U416" s="47">
        <f t="shared" ca="1" si="278"/>
        <v>0</v>
      </c>
    </row>
    <row r="417" spans="1:21" ht="18.75" hidden="1" x14ac:dyDescent="0.25">
      <c r="A417" s="129"/>
      <c r="B417" s="160"/>
      <c r="C417" s="160"/>
      <c r="D417" s="160"/>
      <c r="E417" s="511" t="s">
        <v>162</v>
      </c>
      <c r="F417" s="160"/>
      <c r="G417" s="194"/>
      <c r="H417" s="190" t="s">
        <v>14</v>
      </c>
      <c r="I417" s="45"/>
      <c r="J417" s="45"/>
      <c r="K417" s="46"/>
      <c r="L417" s="590">
        <v>0</v>
      </c>
      <c r="M417" s="49">
        <v>0</v>
      </c>
      <c r="N417" s="49">
        <v>0</v>
      </c>
      <c r="O417" s="49">
        <f t="shared" si="274"/>
        <v>0</v>
      </c>
      <c r="P417" s="49">
        <f t="shared" si="275"/>
        <v>0</v>
      </c>
      <c r="Q417" s="49">
        <v>0</v>
      </c>
      <c r="R417" s="49">
        <v>0</v>
      </c>
      <c r="S417" s="49">
        <v>0</v>
      </c>
      <c r="T417" s="49">
        <f t="shared" si="277"/>
        <v>0</v>
      </c>
      <c r="U417" s="49">
        <f t="shared" si="278"/>
        <v>0</v>
      </c>
    </row>
    <row r="418" spans="1:21" ht="18.75" hidden="1" x14ac:dyDescent="0.25">
      <c r="A418" s="129"/>
      <c r="B418" s="160"/>
      <c r="C418" s="160"/>
      <c r="D418" s="160"/>
      <c r="E418" s="496" t="s">
        <v>163</v>
      </c>
      <c r="F418" s="160"/>
      <c r="G418" s="194"/>
      <c r="H418" s="189" t="s">
        <v>14</v>
      </c>
      <c r="I418" s="45"/>
      <c r="J418" s="45"/>
      <c r="K418" s="46"/>
      <c r="L418" s="588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IFERROR(__xludf.DUMMYFUNCTION("IMPORTRANGE(""https://docs.google.com/spreadsheets/d/1-uDff_7J0KD5mKrp0Vvzr7lt3OU09vwQwhkpOPPYv2Y/edit?usp=sharing"",""งบพรบ!IT82"")"),40030)</f>
        <v>40030</v>
      </c>
      <c r="N418" s="47">
        <f ca="1">IFERROR(__xludf.DUMMYFUNCTION("IMPORTRANGE(""https://docs.google.com/spreadsheets/d/1-uDff_7J0KD5mKrp0Vvzr7lt3OU09vwQwhkpOPPYv2Y/edit?usp=sharing"",""งบพรบ!IV82"")"),29398.93)</f>
        <v>29398.93</v>
      </c>
      <c r="O418" s="47">
        <f t="shared" ca="1" si="274"/>
        <v>73.442243317511867</v>
      </c>
      <c r="P418" s="47">
        <f t="shared" ca="1" si="275"/>
        <v>73.442243317511867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t="shared" ca="1" si="277"/>
        <v>0</v>
      </c>
      <c r="U418" s="47">
        <f t="shared" ca="1" si="278"/>
        <v>0</v>
      </c>
    </row>
    <row r="419" spans="1:21" ht="18.75" x14ac:dyDescent="0.25">
      <c r="A419" s="129"/>
      <c r="B419" s="160"/>
      <c r="C419" s="160"/>
      <c r="D419" s="626" t="s">
        <v>23</v>
      </c>
      <c r="E419" s="160"/>
      <c r="F419" s="160"/>
      <c r="G419" s="194"/>
      <c r="H419" s="134" t="s">
        <v>14</v>
      </c>
      <c r="I419" s="45"/>
      <c r="J419" s="45"/>
      <c r="K419" s="46"/>
      <c r="L419" s="588">
        <f t="shared" ref="L419:N419" ca="1" si="283">L420+L421</f>
        <v>0</v>
      </c>
      <c r="M419" s="47">
        <f t="shared" ca="1" si="283"/>
        <v>0</v>
      </c>
      <c r="N419" s="47">
        <f t="shared" ca="1" si="283"/>
        <v>0</v>
      </c>
      <c r="O419" s="47">
        <f t="shared" ca="1" si="274"/>
        <v>0</v>
      </c>
      <c r="P419" s="47">
        <f t="shared" ca="1" si="275"/>
        <v>0</v>
      </c>
      <c r="Q419" s="47">
        <f t="shared" ref="Q419:S419" si="284">Q420+Q421</f>
        <v>0</v>
      </c>
      <c r="R419" s="47">
        <f t="shared" si="284"/>
        <v>0</v>
      </c>
      <c r="S419" s="47">
        <f t="shared" si="284"/>
        <v>0</v>
      </c>
      <c r="T419" s="47">
        <f t="shared" si="277"/>
        <v>0</v>
      </c>
      <c r="U419" s="47">
        <f t="shared" si="278"/>
        <v>0</v>
      </c>
    </row>
    <row r="420" spans="1:21" ht="18.75" hidden="1" x14ac:dyDescent="0.25">
      <c r="A420" s="129"/>
      <c r="B420" s="160"/>
      <c r="C420" s="160"/>
      <c r="D420" s="160"/>
      <c r="E420" s="511" t="s">
        <v>20</v>
      </c>
      <c r="F420" s="160"/>
      <c r="G420" s="194"/>
      <c r="H420" s="190" t="s">
        <v>14</v>
      </c>
      <c r="I420" s="45"/>
      <c r="J420" s="45"/>
      <c r="K420" s="46"/>
      <c r="L420" s="590">
        <v>0</v>
      </c>
      <c r="M420" s="49">
        <v>0</v>
      </c>
      <c r="N420" s="49">
        <v>0</v>
      </c>
      <c r="O420" s="49">
        <f t="shared" si="274"/>
        <v>0</v>
      </c>
      <c r="P420" s="49">
        <f t="shared" si="275"/>
        <v>0</v>
      </c>
      <c r="Q420" s="49">
        <v>0</v>
      </c>
      <c r="R420" s="49">
        <v>0</v>
      </c>
      <c r="S420" s="49">
        <v>0</v>
      </c>
      <c r="T420" s="49">
        <f t="shared" si="277"/>
        <v>0</v>
      </c>
      <c r="U420" s="49">
        <f t="shared" si="278"/>
        <v>0</v>
      </c>
    </row>
    <row r="421" spans="1:21" ht="18.75" hidden="1" x14ac:dyDescent="0.25">
      <c r="A421" s="129"/>
      <c r="B421" s="160"/>
      <c r="C421" s="160"/>
      <c r="D421" s="160"/>
      <c r="E421" s="496" t="s">
        <v>21</v>
      </c>
      <c r="F421" s="160"/>
      <c r="G421" s="194"/>
      <c r="H421" s="134" t="s">
        <v>14</v>
      </c>
      <c r="I421" s="45"/>
      <c r="J421" s="45"/>
      <c r="K421" s="46"/>
      <c r="L421" s="588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t="shared" ca="1" si="274"/>
        <v>0</v>
      </c>
      <c r="P421" s="47">
        <f t="shared" ca="1" si="275"/>
        <v>0</v>
      </c>
      <c r="Q421" s="47">
        <v>0</v>
      </c>
      <c r="R421" s="47">
        <v>0</v>
      </c>
      <c r="S421" s="47">
        <v>0</v>
      </c>
      <c r="T421" s="47">
        <f t="shared" si="277"/>
        <v>0</v>
      </c>
      <c r="U421" s="47">
        <f t="shared" si="278"/>
        <v>0</v>
      </c>
    </row>
    <row r="422" spans="1:21" ht="19.5" x14ac:dyDescent="0.3">
      <c r="A422" s="225"/>
      <c r="B422" s="160"/>
      <c r="C422" s="409" t="s">
        <v>18</v>
      </c>
      <c r="D422" s="746" t="s">
        <v>38</v>
      </c>
      <c r="E422" s="160"/>
      <c r="F422" s="160"/>
      <c r="G422" s="194"/>
      <c r="H422" s="194"/>
      <c r="I422" s="45"/>
      <c r="J422" s="45"/>
      <c r="K422" s="46"/>
      <c r="L422" s="591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747"/>
      <c r="B423" s="484" t="s">
        <v>164</v>
      </c>
      <c r="C423" s="483"/>
      <c r="D423" s="483"/>
      <c r="E423" s="483"/>
      <c r="F423" s="483"/>
      <c r="G423" s="494"/>
      <c r="H423" s="748" t="s">
        <v>46</v>
      </c>
      <c r="I423" s="488">
        <f t="shared" ref="I423:J423" ca="1" si="285">I440</f>
        <v>0</v>
      </c>
      <c r="J423" s="749">
        <f t="shared" si="285"/>
        <v>0</v>
      </c>
      <c r="K423" s="489">
        <f t="shared" ref="K423:K425" ca="1" si="286">IF(I423&gt;0,J423*100/I423,0)</f>
        <v>0</v>
      </c>
      <c r="L423" s="750"/>
      <c r="M423" s="490"/>
      <c r="N423" s="490"/>
      <c r="O423" s="490"/>
      <c r="P423" s="490"/>
      <c r="Q423" s="490"/>
      <c r="R423" s="490"/>
      <c r="S423" s="490"/>
      <c r="T423" s="490"/>
      <c r="U423" s="490"/>
    </row>
    <row r="424" spans="1:21" ht="19.5" hidden="1" x14ac:dyDescent="0.3">
      <c r="A424" s="225"/>
      <c r="B424" s="160"/>
      <c r="C424" s="367" t="s">
        <v>165</v>
      </c>
      <c r="D424" s="160"/>
      <c r="E424" s="160"/>
      <c r="F424" s="160"/>
      <c r="G424" s="194"/>
      <c r="H424" s="132" t="s">
        <v>46</v>
      </c>
      <c r="I424" s="371">
        <f ca="1">IFERROR(__xludf.DUMMYFUNCTION("IMPORTRANGE(""https://docs.google.com/spreadsheets/d/1eHaY18a8A9IcSdp1K8H6x8fbOy06t2VsZHhMHf-1x7Y/edit?usp=sharing"",""แผน!HJ82"")"),0)</f>
        <v>0</v>
      </c>
      <c r="J424" s="751">
        <f t="shared" ref="J424:J425" si="287">J426+J428+J430</f>
        <v>0</v>
      </c>
      <c r="K424" s="133">
        <f t="shared" ca="1" si="286"/>
        <v>0</v>
      </c>
      <c r="L424" s="591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25"/>
      <c r="B425" s="160"/>
      <c r="C425" s="160"/>
      <c r="D425" s="160"/>
      <c r="E425" s="160"/>
      <c r="F425" s="160"/>
      <c r="G425" s="194"/>
      <c r="H425" s="132" t="s">
        <v>34</v>
      </c>
      <c r="I425" s="371">
        <f ca="1">IFERROR(__xludf.DUMMYFUNCTION("IMPORTRANGE(""https://docs.google.com/spreadsheets/d/1eHaY18a8A9IcSdp1K8H6x8fbOy06t2VsZHhMHf-1x7Y/edit?usp=sharing"",""แผน!HK82"")"),0)</f>
        <v>0</v>
      </c>
      <c r="J425" s="751">
        <f t="shared" si="287"/>
        <v>0</v>
      </c>
      <c r="K425" s="133">
        <f t="shared" ca="1" si="286"/>
        <v>0</v>
      </c>
      <c r="L425" s="591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25"/>
      <c r="B426" s="160"/>
      <c r="C426" s="160"/>
      <c r="D426" s="496" t="s">
        <v>166</v>
      </c>
      <c r="E426" s="160"/>
      <c r="F426" s="160"/>
      <c r="G426" s="194"/>
      <c r="H426" s="134" t="s">
        <v>46</v>
      </c>
      <c r="I426" s="45"/>
      <c r="J426" s="752">
        <v>0</v>
      </c>
      <c r="K426" s="46"/>
      <c r="L426" s="591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25"/>
      <c r="B427" s="160"/>
      <c r="C427" s="160"/>
      <c r="D427" s="160"/>
      <c r="E427" s="160"/>
      <c r="F427" s="160"/>
      <c r="G427" s="194"/>
      <c r="H427" s="134" t="s">
        <v>34</v>
      </c>
      <c r="I427" s="45"/>
      <c r="J427" s="752">
        <v>0</v>
      </c>
      <c r="K427" s="46"/>
      <c r="L427" s="591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25"/>
      <c r="B428" s="160"/>
      <c r="C428" s="160"/>
      <c r="D428" s="496" t="s">
        <v>167</v>
      </c>
      <c r="E428" s="160"/>
      <c r="F428" s="160"/>
      <c r="G428" s="194"/>
      <c r="H428" s="134" t="s">
        <v>46</v>
      </c>
      <c r="I428" s="45"/>
      <c r="J428" s="752">
        <v>0</v>
      </c>
      <c r="K428" s="46"/>
      <c r="L428" s="591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25"/>
      <c r="B429" s="160"/>
      <c r="C429" s="160"/>
      <c r="D429" s="160"/>
      <c r="E429" s="160"/>
      <c r="F429" s="160"/>
      <c r="G429" s="194"/>
      <c r="H429" s="134" t="s">
        <v>34</v>
      </c>
      <c r="I429" s="45"/>
      <c r="J429" s="752">
        <v>0</v>
      </c>
      <c r="K429" s="46"/>
      <c r="L429" s="591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25"/>
      <c r="B430" s="160"/>
      <c r="C430" s="160"/>
      <c r="D430" s="496" t="s">
        <v>168</v>
      </c>
      <c r="E430" s="160"/>
      <c r="F430" s="160"/>
      <c r="G430" s="194"/>
      <c r="H430" s="134" t="s">
        <v>46</v>
      </c>
      <c r="I430" s="45"/>
      <c r="J430" s="752">
        <v>0</v>
      </c>
      <c r="K430" s="46"/>
      <c r="L430" s="591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25"/>
      <c r="B431" s="160"/>
      <c r="C431" s="160"/>
      <c r="D431" s="160"/>
      <c r="E431" s="160"/>
      <c r="F431" s="160"/>
      <c r="G431" s="194"/>
      <c r="H431" s="134" t="s">
        <v>34</v>
      </c>
      <c r="I431" s="45"/>
      <c r="J431" s="752">
        <v>0</v>
      </c>
      <c r="K431" s="46"/>
      <c r="L431" s="591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25"/>
      <c r="B432" s="160"/>
      <c r="C432" s="367" t="s">
        <v>169</v>
      </c>
      <c r="D432" s="160"/>
      <c r="E432" s="160"/>
      <c r="F432" s="160"/>
      <c r="G432" s="194"/>
      <c r="H432" s="132" t="s">
        <v>46</v>
      </c>
      <c r="I432" s="371">
        <f ca="1">IFERROR(__xludf.DUMMYFUNCTION("IMPORTRANGE(""https://docs.google.com/spreadsheets/d/1eHaY18a8A9IcSdp1K8H6x8fbOy06t2VsZHhMHf-1x7Y/edit?usp=sharing"",""แผน!HJ82"")"),0)</f>
        <v>0</v>
      </c>
      <c r="J432" s="751">
        <f t="shared" ref="J432:J433" si="288">J434+J436+J438</f>
        <v>0</v>
      </c>
      <c r="K432" s="133">
        <f t="shared" ref="K432:K433" ca="1" si="289">IF(I432&gt;0,J432*100/I432,0)</f>
        <v>0</v>
      </c>
      <c r="L432" s="591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25"/>
      <c r="B433" s="160"/>
      <c r="C433" s="160"/>
      <c r="D433" s="160"/>
      <c r="E433" s="160"/>
      <c r="F433" s="160"/>
      <c r="G433" s="194"/>
      <c r="H433" s="132" t="s">
        <v>34</v>
      </c>
      <c r="I433" s="371">
        <f ca="1">IFERROR(__xludf.DUMMYFUNCTION("IMPORTRANGE(""https://docs.google.com/spreadsheets/d/1eHaY18a8A9IcSdp1K8H6x8fbOy06t2VsZHhMHf-1x7Y/edit?usp=sharing"",""แผน!HK82"")"),0)</f>
        <v>0</v>
      </c>
      <c r="J433" s="751">
        <f t="shared" si="288"/>
        <v>0</v>
      </c>
      <c r="K433" s="133">
        <f t="shared" ca="1" si="289"/>
        <v>0</v>
      </c>
      <c r="L433" s="591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25"/>
      <c r="B434" s="160"/>
      <c r="C434" s="160"/>
      <c r="D434" s="496" t="s">
        <v>170</v>
      </c>
      <c r="E434" s="160"/>
      <c r="F434" s="160"/>
      <c r="G434" s="194"/>
      <c r="H434" s="134" t="s">
        <v>46</v>
      </c>
      <c r="I434" s="45"/>
      <c r="J434" s="752">
        <v>0</v>
      </c>
      <c r="K434" s="46"/>
      <c r="L434" s="591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25"/>
      <c r="B435" s="160"/>
      <c r="C435" s="160"/>
      <c r="D435" s="160"/>
      <c r="E435" s="160"/>
      <c r="F435" s="160"/>
      <c r="G435" s="194"/>
      <c r="H435" s="134" t="s">
        <v>34</v>
      </c>
      <c r="I435" s="45"/>
      <c r="J435" s="752">
        <v>0</v>
      </c>
      <c r="K435" s="46"/>
      <c r="L435" s="591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25"/>
      <c r="B436" s="160"/>
      <c r="C436" s="160"/>
      <c r="D436" s="496" t="s">
        <v>171</v>
      </c>
      <c r="E436" s="160"/>
      <c r="F436" s="160"/>
      <c r="G436" s="194"/>
      <c r="H436" s="134" t="s">
        <v>46</v>
      </c>
      <c r="I436" s="45"/>
      <c r="J436" s="752">
        <v>0</v>
      </c>
      <c r="K436" s="46"/>
      <c r="L436" s="591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25"/>
      <c r="B437" s="160"/>
      <c r="C437" s="160"/>
      <c r="D437" s="160"/>
      <c r="E437" s="160"/>
      <c r="F437" s="160"/>
      <c r="G437" s="194"/>
      <c r="H437" s="134" t="s">
        <v>34</v>
      </c>
      <c r="I437" s="45"/>
      <c r="J437" s="752">
        <v>0</v>
      </c>
      <c r="K437" s="46"/>
      <c r="L437" s="591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25"/>
      <c r="B438" s="160"/>
      <c r="C438" s="160"/>
      <c r="D438" s="496" t="s">
        <v>172</v>
      </c>
      <c r="E438" s="160"/>
      <c r="F438" s="160"/>
      <c r="G438" s="194"/>
      <c r="H438" s="134" t="s">
        <v>46</v>
      </c>
      <c r="I438" s="45"/>
      <c r="J438" s="752">
        <v>0</v>
      </c>
      <c r="K438" s="46"/>
      <c r="L438" s="591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25"/>
      <c r="B439" s="160"/>
      <c r="C439" s="160"/>
      <c r="D439" s="160"/>
      <c r="E439" s="160"/>
      <c r="F439" s="160"/>
      <c r="G439" s="194"/>
      <c r="H439" s="134" t="s">
        <v>34</v>
      </c>
      <c r="I439" s="45"/>
      <c r="J439" s="752">
        <v>0</v>
      </c>
      <c r="K439" s="46"/>
      <c r="L439" s="591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25"/>
      <c r="B440" s="160"/>
      <c r="C440" s="367" t="s">
        <v>173</v>
      </c>
      <c r="D440" s="160"/>
      <c r="E440" s="160"/>
      <c r="F440" s="160"/>
      <c r="G440" s="194"/>
      <c r="H440" s="132" t="s">
        <v>46</v>
      </c>
      <c r="I440" s="371">
        <f ca="1">IFERROR(__xludf.DUMMYFUNCTION("IMPORTRANGE(""https://docs.google.com/spreadsheets/d/1eHaY18a8A9IcSdp1K8H6x8fbOy06t2VsZHhMHf-1x7Y/edit?usp=sharing"",""แผน!HJ82"")"),0)</f>
        <v>0</v>
      </c>
      <c r="J440" s="751">
        <f t="shared" ref="J440:J441" si="290">J442+J444+J446+J452+J454</f>
        <v>0</v>
      </c>
      <c r="K440" s="133">
        <f t="shared" ref="K440:K441" ca="1" si="291">IF(I440&gt;0,J440*100/I440,0)</f>
        <v>0</v>
      </c>
      <c r="L440" s="591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25"/>
      <c r="B441" s="160"/>
      <c r="C441" s="160"/>
      <c r="D441" s="160"/>
      <c r="E441" s="160"/>
      <c r="F441" s="160"/>
      <c r="G441" s="194"/>
      <c r="H441" s="132" t="s">
        <v>34</v>
      </c>
      <c r="I441" s="371">
        <f ca="1">IFERROR(__xludf.DUMMYFUNCTION("IMPORTRANGE(""https://docs.google.com/spreadsheets/d/1eHaY18a8A9IcSdp1K8H6x8fbOy06t2VsZHhMHf-1x7Y/edit?usp=sharing"",""แผน!HK82"")"),0)</f>
        <v>0</v>
      </c>
      <c r="J441" s="751">
        <f t="shared" si="290"/>
        <v>0</v>
      </c>
      <c r="K441" s="133">
        <f t="shared" ca="1" si="291"/>
        <v>0</v>
      </c>
      <c r="L441" s="591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25"/>
      <c r="B442" s="160"/>
      <c r="C442" s="160"/>
      <c r="D442" s="496" t="s">
        <v>174</v>
      </c>
      <c r="E442" s="160"/>
      <c r="F442" s="160"/>
      <c r="G442" s="194"/>
      <c r="H442" s="134" t="s">
        <v>46</v>
      </c>
      <c r="I442" s="45"/>
      <c r="J442" s="752">
        <v>0</v>
      </c>
      <c r="K442" s="46"/>
      <c r="L442" s="591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25"/>
      <c r="B443" s="160"/>
      <c r="C443" s="160"/>
      <c r="D443" s="160"/>
      <c r="E443" s="160"/>
      <c r="F443" s="160"/>
      <c r="G443" s="194"/>
      <c r="H443" s="134" t="s">
        <v>34</v>
      </c>
      <c r="I443" s="45"/>
      <c r="J443" s="752">
        <v>0</v>
      </c>
      <c r="K443" s="46"/>
      <c r="L443" s="591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25"/>
      <c r="B444" s="160"/>
      <c r="C444" s="160"/>
      <c r="D444" s="496" t="s">
        <v>175</v>
      </c>
      <c r="E444" s="160"/>
      <c r="F444" s="160"/>
      <c r="G444" s="194"/>
      <c r="H444" s="134" t="s">
        <v>46</v>
      </c>
      <c r="I444" s="45"/>
      <c r="J444" s="752">
        <v>0</v>
      </c>
      <c r="K444" s="46"/>
      <c r="L444" s="591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25"/>
      <c r="B445" s="160"/>
      <c r="C445" s="160"/>
      <c r="D445" s="160"/>
      <c r="E445" s="160"/>
      <c r="F445" s="160"/>
      <c r="G445" s="194"/>
      <c r="H445" s="134" t="s">
        <v>34</v>
      </c>
      <c r="I445" s="45"/>
      <c r="J445" s="752">
        <v>0</v>
      </c>
      <c r="K445" s="46"/>
      <c r="L445" s="591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25"/>
      <c r="B446" s="160"/>
      <c r="C446" s="160"/>
      <c r="D446" s="496" t="s">
        <v>176</v>
      </c>
      <c r="E446" s="160"/>
      <c r="F446" s="160"/>
      <c r="G446" s="194"/>
      <c r="H446" s="134" t="s">
        <v>46</v>
      </c>
      <c r="I446" s="45"/>
      <c r="J446" s="751">
        <f t="shared" ref="J446:J447" si="292">J448+J450</f>
        <v>0</v>
      </c>
      <c r="K446" s="46"/>
      <c r="L446" s="591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25"/>
      <c r="B447" s="160"/>
      <c r="C447" s="160"/>
      <c r="D447" s="160"/>
      <c r="E447" s="160"/>
      <c r="F447" s="160"/>
      <c r="G447" s="194"/>
      <c r="H447" s="134" t="s">
        <v>34</v>
      </c>
      <c r="I447" s="45"/>
      <c r="J447" s="751">
        <f t="shared" si="292"/>
        <v>0</v>
      </c>
      <c r="K447" s="46"/>
      <c r="L447" s="591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25"/>
      <c r="B448" s="160"/>
      <c r="C448" s="160"/>
      <c r="D448" s="160"/>
      <c r="E448" s="496" t="s">
        <v>177</v>
      </c>
      <c r="F448" s="160"/>
      <c r="G448" s="194"/>
      <c r="H448" s="134" t="s">
        <v>46</v>
      </c>
      <c r="I448" s="45"/>
      <c r="J448" s="752">
        <v>0</v>
      </c>
      <c r="K448" s="46"/>
      <c r="L448" s="591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25"/>
      <c r="B449" s="160"/>
      <c r="C449" s="160"/>
      <c r="D449" s="160"/>
      <c r="E449" s="160"/>
      <c r="F449" s="160"/>
      <c r="G449" s="194"/>
      <c r="H449" s="134" t="s">
        <v>34</v>
      </c>
      <c r="I449" s="45"/>
      <c r="J449" s="752">
        <v>0</v>
      </c>
      <c r="K449" s="46"/>
      <c r="L449" s="591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25"/>
      <c r="B450" s="160"/>
      <c r="C450" s="160"/>
      <c r="D450" s="160"/>
      <c r="E450" s="496" t="s">
        <v>178</v>
      </c>
      <c r="F450" s="160"/>
      <c r="G450" s="194"/>
      <c r="H450" s="134" t="s">
        <v>46</v>
      </c>
      <c r="I450" s="45"/>
      <c r="J450" s="752">
        <v>0</v>
      </c>
      <c r="K450" s="46"/>
      <c r="L450" s="591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25"/>
      <c r="B451" s="160"/>
      <c r="C451" s="160"/>
      <c r="D451" s="160"/>
      <c r="E451" s="160"/>
      <c r="F451" s="160"/>
      <c r="G451" s="194"/>
      <c r="H451" s="134" t="s">
        <v>34</v>
      </c>
      <c r="I451" s="45"/>
      <c r="J451" s="752">
        <v>0</v>
      </c>
      <c r="K451" s="46"/>
      <c r="L451" s="591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25"/>
      <c r="B452" s="160"/>
      <c r="C452" s="160"/>
      <c r="D452" s="496" t="s">
        <v>179</v>
      </c>
      <c r="E452" s="160"/>
      <c r="F452" s="160"/>
      <c r="G452" s="194"/>
      <c r="H452" s="134" t="s">
        <v>46</v>
      </c>
      <c r="I452" s="45"/>
      <c r="J452" s="752">
        <v>0</v>
      </c>
      <c r="K452" s="46"/>
      <c r="L452" s="591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25"/>
      <c r="B453" s="160"/>
      <c r="C453" s="160"/>
      <c r="D453" s="160"/>
      <c r="E453" s="160"/>
      <c r="F453" s="160"/>
      <c r="G453" s="194"/>
      <c r="H453" s="134" t="s">
        <v>34</v>
      </c>
      <c r="I453" s="45"/>
      <c r="J453" s="752">
        <v>0</v>
      </c>
      <c r="K453" s="46"/>
      <c r="L453" s="591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25"/>
      <c r="B454" s="160"/>
      <c r="C454" s="160"/>
      <c r="D454" s="496" t="s">
        <v>180</v>
      </c>
      <c r="E454" s="160"/>
      <c r="F454" s="160"/>
      <c r="G454" s="194"/>
      <c r="H454" s="134" t="s">
        <v>46</v>
      </c>
      <c r="I454" s="45"/>
      <c r="J454" s="753">
        <v>0</v>
      </c>
      <c r="K454" s="46"/>
      <c r="L454" s="591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25"/>
      <c r="B455" s="160"/>
      <c r="C455" s="160"/>
      <c r="D455" s="160"/>
      <c r="E455" s="160"/>
      <c r="F455" s="160"/>
      <c r="G455" s="194"/>
      <c r="H455" s="134" t="s">
        <v>34</v>
      </c>
      <c r="I455" s="45"/>
      <c r="J455" s="752">
        <v>0</v>
      </c>
      <c r="K455" s="46"/>
      <c r="L455" s="591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747"/>
      <c r="B456" s="484" t="s">
        <v>181</v>
      </c>
      <c r="C456" s="483"/>
      <c r="D456" s="483"/>
      <c r="E456" s="483"/>
      <c r="F456" s="483"/>
      <c r="G456" s="494"/>
      <c r="H456" s="748" t="s">
        <v>46</v>
      </c>
      <c r="I456" s="488">
        <f t="shared" ref="I456:J456" ca="1" si="293">I457</f>
        <v>562.73</v>
      </c>
      <c r="J456" s="754">
        <f t="shared" si="293"/>
        <v>0</v>
      </c>
      <c r="K456" s="489">
        <f t="shared" ref="K456:K458" ca="1" si="294">IF(I456&gt;0,J456*100/I456,0)</f>
        <v>0</v>
      </c>
      <c r="L456" s="750"/>
      <c r="M456" s="490"/>
      <c r="N456" s="490"/>
      <c r="O456" s="490"/>
      <c r="P456" s="490"/>
      <c r="Q456" s="490"/>
      <c r="R456" s="490"/>
      <c r="S456" s="490"/>
      <c r="T456" s="490"/>
      <c r="U456" s="490"/>
    </row>
    <row r="457" spans="1:21" ht="19.5" x14ac:dyDescent="0.3">
      <c r="A457" s="225"/>
      <c r="B457" s="160"/>
      <c r="C457" s="367" t="s">
        <v>182</v>
      </c>
      <c r="D457" s="160"/>
      <c r="E457" s="160"/>
      <c r="F457" s="160"/>
      <c r="G457" s="194"/>
      <c r="H457" s="132" t="s">
        <v>46</v>
      </c>
      <c r="I457" s="371">
        <f ca="1">IFERROR(__xludf.DUMMYFUNCTION("IMPORTRANGE(""https://docs.google.com/spreadsheets/d/1eHaY18a8A9IcSdp1K8H6x8fbOy06t2VsZHhMHf-1x7Y/edit?usp=sharing"",""แผน!HL82"")"),562.73)</f>
        <v>562.73</v>
      </c>
      <c r="J457" s="751">
        <f t="shared" ref="J457:J458" si="295">J459+J467+J473</f>
        <v>0</v>
      </c>
      <c r="K457" s="133">
        <f t="shared" ca="1" si="294"/>
        <v>0</v>
      </c>
      <c r="L457" s="591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25"/>
      <c r="B458" s="160"/>
      <c r="C458" s="160"/>
      <c r="D458" s="160"/>
      <c r="E458" s="160"/>
      <c r="F458" s="160"/>
      <c r="G458" s="194"/>
      <c r="H458" s="132" t="s">
        <v>34</v>
      </c>
      <c r="I458" s="371">
        <f ca="1">IFERROR(__xludf.DUMMYFUNCTION("IMPORTRANGE(""https://docs.google.com/spreadsheets/d/1eHaY18a8A9IcSdp1K8H6x8fbOy06t2VsZHhMHf-1x7Y/edit?usp=sharing"",""แผน!HM82"")"),113)</f>
        <v>113</v>
      </c>
      <c r="J458" s="751">
        <f t="shared" si="295"/>
        <v>0</v>
      </c>
      <c r="K458" s="133">
        <f t="shared" ca="1" si="294"/>
        <v>0</v>
      </c>
      <c r="L458" s="591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25"/>
      <c r="B459" s="160"/>
      <c r="C459" s="496" t="s">
        <v>183</v>
      </c>
      <c r="D459" s="160"/>
      <c r="E459" s="160"/>
      <c r="F459" s="160"/>
      <c r="G459" s="194"/>
      <c r="H459" s="134" t="s">
        <v>46</v>
      </c>
      <c r="I459" s="45"/>
      <c r="J459" s="755">
        <f t="shared" ref="J459:J460" si="296">J461+J463</f>
        <v>0</v>
      </c>
      <c r="K459" s="46"/>
      <c r="L459" s="591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25"/>
      <c r="B460" s="160"/>
      <c r="C460" s="160"/>
      <c r="D460" s="160"/>
      <c r="E460" s="160"/>
      <c r="F460" s="160"/>
      <c r="G460" s="194"/>
      <c r="H460" s="134" t="s">
        <v>34</v>
      </c>
      <c r="I460" s="45"/>
      <c r="J460" s="755">
        <f t="shared" si="296"/>
        <v>0</v>
      </c>
      <c r="K460" s="46"/>
      <c r="L460" s="591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25"/>
      <c r="B461" s="160"/>
      <c r="C461" s="160"/>
      <c r="D461" s="369" t="s">
        <v>184</v>
      </c>
      <c r="E461" s="160"/>
      <c r="F461" s="160"/>
      <c r="G461" s="194"/>
      <c r="H461" s="134" t="s">
        <v>46</v>
      </c>
      <c r="I461" s="45"/>
      <c r="J461" s="752">
        <v>0</v>
      </c>
      <c r="K461" s="46"/>
      <c r="L461" s="591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25"/>
      <c r="B462" s="160"/>
      <c r="C462" s="160"/>
      <c r="D462" s="160"/>
      <c r="E462" s="160"/>
      <c r="F462" s="160"/>
      <c r="G462" s="194"/>
      <c r="H462" s="134" t="s">
        <v>34</v>
      </c>
      <c r="I462" s="45"/>
      <c r="J462" s="752">
        <v>0</v>
      </c>
      <c r="K462" s="46"/>
      <c r="L462" s="591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25"/>
      <c r="B463" s="160"/>
      <c r="C463" s="160"/>
      <c r="D463" s="369" t="s">
        <v>185</v>
      </c>
      <c r="E463" s="160"/>
      <c r="F463" s="160"/>
      <c r="G463" s="194"/>
      <c r="H463" s="134" t="s">
        <v>46</v>
      </c>
      <c r="I463" s="45"/>
      <c r="J463" s="752">
        <v>0</v>
      </c>
      <c r="K463" s="46"/>
      <c r="L463" s="591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25"/>
      <c r="B464" s="160"/>
      <c r="C464" s="160"/>
      <c r="D464" s="160"/>
      <c r="E464" s="160"/>
      <c r="F464" s="160"/>
      <c r="G464" s="194"/>
      <c r="H464" s="134" t="s">
        <v>34</v>
      </c>
      <c r="I464" s="45"/>
      <c r="J464" s="752">
        <v>0</v>
      </c>
      <c r="K464" s="46"/>
      <c r="L464" s="591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25"/>
      <c r="B465" s="160"/>
      <c r="C465" s="160"/>
      <c r="D465" s="369" t="s">
        <v>186</v>
      </c>
      <c r="E465" s="160"/>
      <c r="F465" s="160"/>
      <c r="G465" s="194"/>
      <c r="H465" s="134" t="s">
        <v>46</v>
      </c>
      <c r="I465" s="45"/>
      <c r="J465" s="752">
        <v>0</v>
      </c>
      <c r="K465" s="46"/>
      <c r="L465" s="591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25"/>
      <c r="B466" s="160"/>
      <c r="C466" s="160"/>
      <c r="D466" s="160"/>
      <c r="E466" s="160"/>
      <c r="F466" s="160"/>
      <c r="G466" s="194"/>
      <c r="H466" s="134" t="s">
        <v>34</v>
      </c>
      <c r="I466" s="45"/>
      <c r="J466" s="752">
        <v>0</v>
      </c>
      <c r="K466" s="46"/>
      <c r="L466" s="591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25"/>
      <c r="B467" s="160"/>
      <c r="C467" s="369" t="s">
        <v>187</v>
      </c>
      <c r="D467" s="160"/>
      <c r="E467" s="160"/>
      <c r="F467" s="160"/>
      <c r="G467" s="194"/>
      <c r="H467" s="134" t="s">
        <v>46</v>
      </c>
      <c r="I467" s="45"/>
      <c r="J467" s="755">
        <f t="shared" ref="J467:J468" si="297">J469+J471</f>
        <v>0</v>
      </c>
      <c r="K467" s="46"/>
      <c r="L467" s="591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25"/>
      <c r="B468" s="160"/>
      <c r="C468" s="160"/>
      <c r="D468" s="160"/>
      <c r="E468" s="160"/>
      <c r="F468" s="160"/>
      <c r="G468" s="194"/>
      <c r="H468" s="134" t="s">
        <v>34</v>
      </c>
      <c r="I468" s="45"/>
      <c r="J468" s="755">
        <f t="shared" si="297"/>
        <v>0</v>
      </c>
      <c r="K468" s="46"/>
      <c r="L468" s="591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25"/>
      <c r="B469" s="160"/>
      <c r="C469" s="160"/>
      <c r="D469" s="369" t="s">
        <v>188</v>
      </c>
      <c r="E469" s="160"/>
      <c r="F469" s="160"/>
      <c r="G469" s="194"/>
      <c r="H469" s="134" t="s">
        <v>46</v>
      </c>
      <c r="I469" s="45"/>
      <c r="J469" s="752">
        <v>0</v>
      </c>
      <c r="K469" s="46"/>
      <c r="L469" s="591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25"/>
      <c r="B470" s="160"/>
      <c r="C470" s="160"/>
      <c r="D470" s="160"/>
      <c r="E470" s="160"/>
      <c r="F470" s="160"/>
      <c r="G470" s="194"/>
      <c r="H470" s="134" t="s">
        <v>34</v>
      </c>
      <c r="I470" s="45"/>
      <c r="J470" s="752">
        <v>0</v>
      </c>
      <c r="K470" s="46"/>
      <c r="L470" s="591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25"/>
      <c r="B471" s="160"/>
      <c r="C471" s="160"/>
      <c r="D471" s="369" t="s">
        <v>189</v>
      </c>
      <c r="E471" s="160"/>
      <c r="F471" s="160"/>
      <c r="G471" s="194"/>
      <c r="H471" s="134" t="s">
        <v>46</v>
      </c>
      <c r="I471" s="45"/>
      <c r="J471" s="752">
        <v>0</v>
      </c>
      <c r="K471" s="46"/>
      <c r="L471" s="591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25"/>
      <c r="B472" s="160"/>
      <c r="C472" s="160"/>
      <c r="D472" s="160"/>
      <c r="E472" s="160"/>
      <c r="F472" s="160"/>
      <c r="G472" s="194"/>
      <c r="H472" s="134" t="s">
        <v>34</v>
      </c>
      <c r="I472" s="45"/>
      <c r="J472" s="752">
        <v>0</v>
      </c>
      <c r="K472" s="46"/>
      <c r="L472" s="591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25"/>
      <c r="B473" s="160"/>
      <c r="C473" s="496" t="s">
        <v>190</v>
      </c>
      <c r="D473" s="160"/>
      <c r="E473" s="160"/>
      <c r="F473" s="160"/>
      <c r="G473" s="194"/>
      <c r="H473" s="134" t="s">
        <v>46</v>
      </c>
      <c r="I473" s="45"/>
      <c r="J473" s="752">
        <v>0</v>
      </c>
      <c r="K473" s="46"/>
      <c r="L473" s="591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25"/>
      <c r="B474" s="160"/>
      <c r="C474" s="160"/>
      <c r="D474" s="160"/>
      <c r="E474" s="160"/>
      <c r="F474" s="160"/>
      <c r="G474" s="194"/>
      <c r="H474" s="134" t="s">
        <v>34</v>
      </c>
      <c r="I474" s="45"/>
      <c r="J474" s="752">
        <v>0</v>
      </c>
      <c r="K474" s="46"/>
      <c r="L474" s="591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747"/>
      <c r="B475" s="756" t="s">
        <v>191</v>
      </c>
      <c r="C475" s="483"/>
      <c r="D475" s="483"/>
      <c r="E475" s="483"/>
      <c r="F475" s="483"/>
      <c r="G475" s="494"/>
      <c r="H475" s="487" t="s">
        <v>46</v>
      </c>
      <c r="I475" s="488">
        <v>0</v>
      </c>
      <c r="J475" s="754">
        <f>J478+J480</f>
        <v>0</v>
      </c>
      <c r="K475" s="489">
        <f t="shared" ref="K475:K477" si="298">IF(I475&gt;0,J475*100/I475,0)</f>
        <v>0</v>
      </c>
      <c r="L475" s="750"/>
      <c r="M475" s="490"/>
      <c r="N475" s="490"/>
      <c r="O475" s="490"/>
      <c r="P475" s="490"/>
      <c r="Q475" s="490"/>
      <c r="R475" s="490"/>
      <c r="S475" s="490"/>
      <c r="T475" s="490"/>
      <c r="U475" s="490"/>
    </row>
    <row r="476" spans="1:21" ht="19.5" hidden="1" x14ac:dyDescent="0.3">
      <c r="A476" s="757"/>
      <c r="B476" s="758"/>
      <c r="C476" s="759" t="s">
        <v>192</v>
      </c>
      <c r="D476" s="758"/>
      <c r="E476" s="758"/>
      <c r="F476" s="758"/>
      <c r="G476" s="760"/>
      <c r="H476" s="761" t="s">
        <v>46</v>
      </c>
      <c r="I476" s="762">
        <v>0</v>
      </c>
      <c r="J476" s="763">
        <f t="shared" ref="J476:J477" si="299">J478+J480</f>
        <v>0</v>
      </c>
      <c r="K476" s="764">
        <f t="shared" si="298"/>
        <v>0</v>
      </c>
      <c r="L476" s="765"/>
      <c r="M476" s="766"/>
      <c r="N476" s="766"/>
      <c r="O476" s="766"/>
      <c r="P476" s="766"/>
      <c r="Q476" s="766"/>
      <c r="R476" s="766"/>
      <c r="S476" s="766"/>
      <c r="T476" s="766"/>
      <c r="U476" s="766"/>
    </row>
    <row r="477" spans="1:21" ht="19.5" hidden="1" x14ac:dyDescent="0.3">
      <c r="A477" s="757"/>
      <c r="B477" s="758"/>
      <c r="C477" s="767" t="s">
        <v>193</v>
      </c>
      <c r="D477" s="758"/>
      <c r="E477" s="758"/>
      <c r="F477" s="758"/>
      <c r="G477" s="760"/>
      <c r="H477" s="761" t="s">
        <v>34</v>
      </c>
      <c r="I477" s="762">
        <v>0</v>
      </c>
      <c r="J477" s="763">
        <f t="shared" si="299"/>
        <v>0</v>
      </c>
      <c r="K477" s="764">
        <f t="shared" si="298"/>
        <v>0</v>
      </c>
      <c r="L477" s="765"/>
      <c r="M477" s="766"/>
      <c r="N477" s="766"/>
      <c r="O477" s="766"/>
      <c r="P477" s="766"/>
      <c r="Q477" s="766"/>
      <c r="R477" s="766"/>
      <c r="S477" s="766"/>
      <c r="T477" s="766"/>
      <c r="U477" s="766"/>
    </row>
    <row r="478" spans="1:21" ht="18.75" hidden="1" x14ac:dyDescent="0.25">
      <c r="A478" s="225"/>
      <c r="B478" s="160"/>
      <c r="C478" s="160"/>
      <c r="D478" s="496" t="s">
        <v>194</v>
      </c>
      <c r="E478" s="160"/>
      <c r="F478" s="160"/>
      <c r="G478" s="194"/>
      <c r="H478" s="134" t="s">
        <v>46</v>
      </c>
      <c r="I478" s="45"/>
      <c r="J478" s="755">
        <v>0</v>
      </c>
      <c r="K478" s="46"/>
      <c r="L478" s="591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25"/>
      <c r="B479" s="160"/>
      <c r="C479" s="160"/>
      <c r="D479" s="160"/>
      <c r="E479" s="160"/>
      <c r="F479" s="160"/>
      <c r="G479" s="194"/>
      <c r="H479" s="134" t="s">
        <v>34</v>
      </c>
      <c r="I479" s="45"/>
      <c r="J479" s="755">
        <v>0</v>
      </c>
      <c r="K479" s="46"/>
      <c r="L479" s="591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25"/>
      <c r="B480" s="160"/>
      <c r="C480" s="160"/>
      <c r="D480" s="369" t="s">
        <v>195</v>
      </c>
      <c r="E480" s="160"/>
      <c r="F480" s="160"/>
      <c r="G480" s="194"/>
      <c r="H480" s="134" t="s">
        <v>46</v>
      </c>
      <c r="I480" s="45"/>
      <c r="J480" s="755">
        <v>0</v>
      </c>
      <c r="K480" s="46"/>
      <c r="L480" s="591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25"/>
      <c r="B481" s="160"/>
      <c r="C481" s="160"/>
      <c r="D481" s="160"/>
      <c r="E481" s="160"/>
      <c r="F481" s="160"/>
      <c r="G481" s="194"/>
      <c r="H481" s="134" t="s">
        <v>34</v>
      </c>
      <c r="I481" s="45"/>
      <c r="J481" s="755">
        <v>0</v>
      </c>
      <c r="K481" s="46"/>
      <c r="L481" s="591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25"/>
      <c r="B482" s="160"/>
      <c r="C482" s="160"/>
      <c r="D482" s="369" t="s">
        <v>196</v>
      </c>
      <c r="E482" s="160"/>
      <c r="F482" s="160"/>
      <c r="G482" s="194"/>
      <c r="H482" s="134" t="s">
        <v>46</v>
      </c>
      <c r="I482" s="45"/>
      <c r="J482" s="755">
        <f ca="1">IFERROR(__xludf.DUMMYFUNCTION("IMPORTRANGE(""https://docs.google.com/spreadsheets/d/1eHaY18a8A9IcSdp1K8H6x8fbOy06t2VsZHhMHf-1x7Y/edit?usp=sharing"",""แผน!HN53"")"),100)</f>
        <v>100</v>
      </c>
      <c r="K482" s="46"/>
      <c r="L482" s="591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25"/>
      <c r="B483" s="160"/>
      <c r="C483" s="160"/>
      <c r="D483" s="160"/>
      <c r="E483" s="160"/>
      <c r="F483" s="160"/>
      <c r="G483" s="194"/>
      <c r="H483" s="134" t="s">
        <v>34</v>
      </c>
      <c r="I483" s="45"/>
      <c r="J483" s="755">
        <f ca="1">IFERROR(__xludf.DUMMYFUNCTION("IMPORTRANGE(""https://docs.google.com/spreadsheets/d/1eHaY18a8A9IcSdp1K8H6x8fbOy06t2VsZHhMHf-1x7Y/edit?usp=sharing"",""แผน!HO53"")"),2409)</f>
        <v>2409</v>
      </c>
      <c r="K483" s="46"/>
      <c r="L483" s="591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757"/>
      <c r="B484" s="758"/>
      <c r="C484" s="759" t="s">
        <v>197</v>
      </c>
      <c r="D484" s="758"/>
      <c r="E484" s="758"/>
      <c r="F484" s="758"/>
      <c r="G484" s="760"/>
      <c r="H484" s="761" t="s">
        <v>46</v>
      </c>
      <c r="I484" s="768">
        <f t="shared" ref="I484:I485" si="300">J480</f>
        <v>0</v>
      </c>
      <c r="J484" s="763">
        <f t="shared" ref="J484:J485" si="301">J486+J488+J490</f>
        <v>0</v>
      </c>
      <c r="K484" s="764">
        <f t="shared" ref="K484:K485" si="302">IF(I484&gt;0,J484*100/I484,0)</f>
        <v>0</v>
      </c>
      <c r="L484" s="765"/>
      <c r="M484" s="766"/>
      <c r="N484" s="766"/>
      <c r="O484" s="766"/>
      <c r="P484" s="766"/>
      <c r="Q484" s="766"/>
      <c r="R484" s="766"/>
      <c r="S484" s="766"/>
      <c r="T484" s="766"/>
      <c r="U484" s="766"/>
    </row>
    <row r="485" spans="1:21" ht="19.5" hidden="1" x14ac:dyDescent="0.3">
      <c r="A485" s="757"/>
      <c r="B485" s="758"/>
      <c r="C485" s="767" t="s">
        <v>198</v>
      </c>
      <c r="D485" s="758"/>
      <c r="E485" s="758"/>
      <c r="F485" s="758"/>
      <c r="G485" s="760"/>
      <c r="H485" s="761" t="s">
        <v>34</v>
      </c>
      <c r="I485" s="768">
        <f t="shared" si="300"/>
        <v>0</v>
      </c>
      <c r="J485" s="763">
        <f t="shared" si="301"/>
        <v>0</v>
      </c>
      <c r="K485" s="764">
        <f t="shared" si="302"/>
        <v>0</v>
      </c>
      <c r="L485" s="765"/>
      <c r="M485" s="766"/>
      <c r="N485" s="766"/>
      <c r="O485" s="766"/>
      <c r="P485" s="766"/>
      <c r="Q485" s="766"/>
      <c r="R485" s="766"/>
      <c r="S485" s="766"/>
      <c r="T485" s="766"/>
      <c r="U485" s="766"/>
    </row>
    <row r="486" spans="1:21" ht="18.75" hidden="1" x14ac:dyDescent="0.25">
      <c r="A486" s="225"/>
      <c r="B486" s="160"/>
      <c r="C486" s="160"/>
      <c r="D486" s="369" t="s">
        <v>199</v>
      </c>
      <c r="E486" s="160"/>
      <c r="F486" s="160"/>
      <c r="G486" s="194"/>
      <c r="H486" s="134" t="s">
        <v>46</v>
      </c>
      <c r="I486" s="45"/>
      <c r="J486" s="752">
        <v>0</v>
      </c>
      <c r="K486" s="46"/>
      <c r="L486" s="591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25"/>
      <c r="B487" s="160"/>
      <c r="C487" s="160"/>
      <c r="D487" s="160"/>
      <c r="E487" s="160"/>
      <c r="F487" s="160"/>
      <c r="G487" s="194"/>
      <c r="H487" s="134" t="s">
        <v>34</v>
      </c>
      <c r="I487" s="45"/>
      <c r="J487" s="752">
        <v>0</v>
      </c>
      <c r="K487" s="46"/>
      <c r="L487" s="591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25"/>
      <c r="B488" s="160"/>
      <c r="C488" s="160"/>
      <c r="D488" s="369" t="s">
        <v>200</v>
      </c>
      <c r="E488" s="160"/>
      <c r="F488" s="160"/>
      <c r="G488" s="194"/>
      <c r="H488" s="134" t="s">
        <v>46</v>
      </c>
      <c r="I488" s="45"/>
      <c r="J488" s="752">
        <v>0</v>
      </c>
      <c r="K488" s="46"/>
      <c r="L488" s="591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25"/>
      <c r="B489" s="160"/>
      <c r="C489" s="160"/>
      <c r="D489" s="160"/>
      <c r="E489" s="160"/>
      <c r="F489" s="160"/>
      <c r="G489" s="194"/>
      <c r="H489" s="134" t="s">
        <v>34</v>
      </c>
      <c r="I489" s="45"/>
      <c r="J489" s="752">
        <v>0</v>
      </c>
      <c r="K489" s="46"/>
      <c r="L489" s="591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25"/>
      <c r="B490" s="160"/>
      <c r="C490" s="160"/>
      <c r="D490" s="369" t="s">
        <v>201</v>
      </c>
      <c r="E490" s="160"/>
      <c r="F490" s="160"/>
      <c r="G490" s="194"/>
      <c r="H490" s="134" t="s">
        <v>46</v>
      </c>
      <c r="I490" s="45"/>
      <c r="J490" s="752">
        <v>0</v>
      </c>
      <c r="K490" s="46"/>
      <c r="L490" s="591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73"/>
      <c r="B491" s="3"/>
      <c r="C491" s="3"/>
      <c r="D491" s="3"/>
      <c r="E491" s="3"/>
      <c r="F491" s="3"/>
      <c r="G491" s="374"/>
      <c r="H491" s="375" t="s">
        <v>34</v>
      </c>
      <c r="I491" s="55"/>
      <c r="J491" s="769">
        <v>0</v>
      </c>
      <c r="K491" s="4"/>
      <c r="L491" s="592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24"/>
      <c r="B492" s="343" t="s">
        <v>202</v>
      </c>
      <c r="C492" s="326"/>
      <c r="D492" s="326"/>
      <c r="E492" s="318"/>
      <c r="F492" s="318"/>
      <c r="G492" s="319"/>
      <c r="H492" s="360" t="s">
        <v>35</v>
      </c>
      <c r="I492" s="321">
        <f t="shared" ref="I492:J492" ca="1" si="303">I503</f>
        <v>0</v>
      </c>
      <c r="J492" s="321">
        <f t="shared" ca="1" si="303"/>
        <v>0</v>
      </c>
      <c r="K492" s="322">
        <f ca="1">IF(I492&gt;0,J492*100/I492,0)</f>
        <v>0</v>
      </c>
      <c r="L492" s="708"/>
      <c r="M492" s="323"/>
      <c r="N492" s="323"/>
      <c r="O492" s="323"/>
      <c r="P492" s="323"/>
      <c r="Q492" s="323"/>
      <c r="R492" s="323"/>
      <c r="S492" s="323"/>
      <c r="T492" s="323"/>
      <c r="U492" s="323"/>
    </row>
    <row r="493" spans="1:21" ht="19.5" hidden="1" x14ac:dyDescent="0.3">
      <c r="A493" s="129"/>
      <c r="B493" s="160"/>
      <c r="C493" s="191" t="s">
        <v>18</v>
      </c>
      <c r="D493" s="866" t="s">
        <v>19</v>
      </c>
      <c r="E493" s="540"/>
      <c r="F493" s="540"/>
      <c r="G493" s="43"/>
      <c r="H493" s="240" t="s">
        <v>14</v>
      </c>
      <c r="I493" s="45"/>
      <c r="J493" s="45"/>
      <c r="K493" s="46"/>
      <c r="L493" s="617">
        <f t="shared" ref="L493:N493" ca="1" si="304">L494+L495</f>
        <v>0</v>
      </c>
      <c r="M493" s="133">
        <f t="shared" ca="1" si="304"/>
        <v>0</v>
      </c>
      <c r="N493" s="133">
        <f t="shared" ca="1" si="304"/>
        <v>0</v>
      </c>
      <c r="O493" s="133">
        <f t="shared" ref="O493:O501" ca="1" si="305">IF(L493&gt;0,N493*100/L493,0)</f>
        <v>0</v>
      </c>
      <c r="P493" s="133">
        <f t="shared" ref="P493:P501" ca="1" si="306">IF(M493&gt;0,N493*100/M493,0)</f>
        <v>0</v>
      </c>
      <c r="Q493" s="133">
        <f t="shared" ref="Q493:S493" ca="1" si="307">Q494+Q495</f>
        <v>0</v>
      </c>
      <c r="R493" s="133">
        <f t="shared" ca="1" si="307"/>
        <v>0</v>
      </c>
      <c r="S493" s="133">
        <f t="shared" ca="1" si="307"/>
        <v>0</v>
      </c>
      <c r="T493" s="133">
        <f t="shared" ref="T493:T501" ca="1" si="308">IF(Q493&gt;0,S493*100/Q493,0)</f>
        <v>0</v>
      </c>
      <c r="U493" s="133">
        <f t="shared" ref="U493:U501" ca="1" si="309">IF(R493&gt;0,S493*100/R493,0)</f>
        <v>0</v>
      </c>
    </row>
    <row r="494" spans="1:21" ht="18.75" hidden="1" x14ac:dyDescent="0.25">
      <c r="A494" s="129"/>
      <c r="B494" s="160"/>
      <c r="C494" s="160"/>
      <c r="D494" s="140"/>
      <c r="E494" s="158" t="s">
        <v>162</v>
      </c>
      <c r="F494" s="200"/>
      <c r="G494" s="43"/>
      <c r="H494" s="161" t="s">
        <v>14</v>
      </c>
      <c r="I494" s="45"/>
      <c r="J494" s="45"/>
      <c r="K494" s="46"/>
      <c r="L494" s="590">
        <f t="shared" ref="L494:N495" si="310">L497+L500</f>
        <v>0</v>
      </c>
      <c r="M494" s="49">
        <f t="shared" si="310"/>
        <v>0</v>
      </c>
      <c r="N494" s="49">
        <f t="shared" si="310"/>
        <v>0</v>
      </c>
      <c r="O494" s="49">
        <f t="shared" si="305"/>
        <v>0</v>
      </c>
      <c r="P494" s="49">
        <f t="shared" si="306"/>
        <v>0</v>
      </c>
      <c r="Q494" s="49">
        <f t="shared" ref="Q494:S495" si="311">Q497+Q500</f>
        <v>0</v>
      </c>
      <c r="R494" s="49">
        <f t="shared" si="311"/>
        <v>0</v>
      </c>
      <c r="S494" s="49">
        <f t="shared" si="311"/>
        <v>0</v>
      </c>
      <c r="T494" s="49">
        <f t="shared" si="308"/>
        <v>0</v>
      </c>
      <c r="U494" s="49">
        <f t="shared" si="309"/>
        <v>0</v>
      </c>
    </row>
    <row r="495" spans="1:21" ht="18.75" hidden="1" x14ac:dyDescent="0.25">
      <c r="A495" s="129"/>
      <c r="B495" s="160"/>
      <c r="C495" s="160"/>
      <c r="D495" s="140"/>
      <c r="E495" s="271" t="s">
        <v>163</v>
      </c>
      <c r="F495" s="200"/>
      <c r="G495" s="43"/>
      <c r="H495" s="135" t="s">
        <v>14</v>
      </c>
      <c r="I495" s="45"/>
      <c r="J495" s="45"/>
      <c r="K495" s="46"/>
      <c r="L495" s="588">
        <f t="shared" ca="1" si="310"/>
        <v>0</v>
      </c>
      <c r="M495" s="47">
        <f t="shared" ca="1" si="310"/>
        <v>0</v>
      </c>
      <c r="N495" s="47">
        <f t="shared" ca="1" si="310"/>
        <v>0</v>
      </c>
      <c r="O495" s="47">
        <f t="shared" ca="1" si="305"/>
        <v>0</v>
      </c>
      <c r="P495" s="47">
        <f t="shared" ca="1" si="306"/>
        <v>0</v>
      </c>
      <c r="Q495" s="47">
        <f t="shared" ca="1" si="311"/>
        <v>0</v>
      </c>
      <c r="R495" s="47">
        <f t="shared" ca="1" si="311"/>
        <v>0</v>
      </c>
      <c r="S495" s="47">
        <f t="shared" ca="1" si="311"/>
        <v>0</v>
      </c>
      <c r="T495" s="47">
        <f t="shared" ca="1" si="308"/>
        <v>0</v>
      </c>
      <c r="U495" s="47">
        <f t="shared" ca="1" si="309"/>
        <v>0</v>
      </c>
    </row>
    <row r="496" spans="1:21" ht="18.75" hidden="1" x14ac:dyDescent="0.25">
      <c r="A496" s="129"/>
      <c r="B496" s="160"/>
      <c r="C496" s="160"/>
      <c r="D496" s="626" t="s">
        <v>22</v>
      </c>
      <c r="E496" s="200"/>
      <c r="F496" s="200"/>
      <c r="G496" s="43"/>
      <c r="H496" s="135" t="s">
        <v>14</v>
      </c>
      <c r="I496" s="136"/>
      <c r="J496" s="136"/>
      <c r="K496" s="137"/>
      <c r="L496" s="588">
        <f t="shared" ref="L496:N496" ca="1" si="312">L497+L498</f>
        <v>0</v>
      </c>
      <c r="M496" s="47">
        <f t="shared" ca="1" si="312"/>
        <v>0</v>
      </c>
      <c r="N496" s="47">
        <f t="shared" ca="1" si="312"/>
        <v>0</v>
      </c>
      <c r="O496" s="47">
        <f t="shared" ca="1" si="305"/>
        <v>0</v>
      </c>
      <c r="P496" s="47">
        <f t="shared" ca="1" si="306"/>
        <v>0</v>
      </c>
      <c r="Q496" s="47">
        <f t="shared" ref="Q496:S496" ca="1" si="313">Q497+Q498</f>
        <v>0</v>
      </c>
      <c r="R496" s="47">
        <f t="shared" ca="1" si="313"/>
        <v>0</v>
      </c>
      <c r="S496" s="47">
        <f t="shared" ca="1" si="313"/>
        <v>0</v>
      </c>
      <c r="T496" s="47">
        <f t="shared" ca="1" si="308"/>
        <v>0</v>
      </c>
      <c r="U496" s="47">
        <f t="shared" ca="1" si="309"/>
        <v>0</v>
      </c>
    </row>
    <row r="497" spans="1:21" ht="18.75" hidden="1" x14ac:dyDescent="0.25">
      <c r="A497" s="129"/>
      <c r="B497" s="160"/>
      <c r="C497" s="160"/>
      <c r="D497" s="140"/>
      <c r="E497" s="158" t="s">
        <v>162</v>
      </c>
      <c r="F497" s="200"/>
      <c r="G497" s="43"/>
      <c r="H497" s="161" t="s">
        <v>14</v>
      </c>
      <c r="I497" s="45"/>
      <c r="J497" s="45"/>
      <c r="K497" s="46"/>
      <c r="L497" s="590">
        <v>0</v>
      </c>
      <c r="M497" s="49">
        <v>0</v>
      </c>
      <c r="N497" s="49">
        <v>0</v>
      </c>
      <c r="O497" s="49">
        <f t="shared" si="305"/>
        <v>0</v>
      </c>
      <c r="P497" s="49">
        <f t="shared" si="306"/>
        <v>0</v>
      </c>
      <c r="Q497" s="49">
        <v>0</v>
      </c>
      <c r="R497" s="49">
        <v>0</v>
      </c>
      <c r="S497" s="49">
        <v>0</v>
      </c>
      <c r="T497" s="49">
        <f t="shared" si="308"/>
        <v>0</v>
      </c>
      <c r="U497" s="49">
        <f t="shared" si="309"/>
        <v>0</v>
      </c>
    </row>
    <row r="498" spans="1:21" ht="18.75" hidden="1" x14ac:dyDescent="0.25">
      <c r="A498" s="129"/>
      <c r="B498" s="160"/>
      <c r="C498" s="160"/>
      <c r="D498" s="140"/>
      <c r="E498" s="271" t="s">
        <v>163</v>
      </c>
      <c r="F498" s="200"/>
      <c r="G498" s="43"/>
      <c r="H498" s="135" t="s">
        <v>14</v>
      </c>
      <c r="I498" s="45"/>
      <c r="J498" s="45"/>
      <c r="K498" s="46"/>
      <c r="L498" s="588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t="shared" ca="1" si="305"/>
        <v>0</v>
      </c>
      <c r="P498" s="47">
        <f t="shared" ca="1" si="306"/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t="shared" ca="1" si="308"/>
        <v>0</v>
      </c>
      <c r="U498" s="47">
        <f t="shared" ca="1" si="309"/>
        <v>0</v>
      </c>
    </row>
    <row r="499" spans="1:21" ht="18.75" hidden="1" x14ac:dyDescent="0.25">
      <c r="A499" s="129"/>
      <c r="B499" s="160"/>
      <c r="C499" s="160"/>
      <c r="D499" s="626" t="s">
        <v>23</v>
      </c>
      <c r="E499" s="200"/>
      <c r="F499" s="200"/>
      <c r="G499" s="43"/>
      <c r="H499" s="138" t="s">
        <v>14</v>
      </c>
      <c r="I499" s="136"/>
      <c r="J499" s="136"/>
      <c r="K499" s="137"/>
      <c r="L499" s="588">
        <f t="shared" ref="L499:N499" ca="1" si="314">L500+L501</f>
        <v>0</v>
      </c>
      <c r="M499" s="47">
        <f t="shared" ca="1" si="314"/>
        <v>0</v>
      </c>
      <c r="N499" s="47">
        <f t="shared" ca="1" si="314"/>
        <v>0</v>
      </c>
      <c r="O499" s="47">
        <f t="shared" ca="1" si="305"/>
        <v>0</v>
      </c>
      <c r="P499" s="47">
        <f t="shared" ca="1" si="306"/>
        <v>0</v>
      </c>
      <c r="Q499" s="47">
        <f t="shared" ref="Q499:S499" si="315">Q500+Q501</f>
        <v>0</v>
      </c>
      <c r="R499" s="47">
        <f t="shared" si="315"/>
        <v>0</v>
      </c>
      <c r="S499" s="47">
        <f t="shared" si="315"/>
        <v>0</v>
      </c>
      <c r="T499" s="47">
        <f t="shared" si="308"/>
        <v>0</v>
      </c>
      <c r="U499" s="47">
        <f t="shared" si="309"/>
        <v>0</v>
      </c>
    </row>
    <row r="500" spans="1:21" ht="18.75" hidden="1" x14ac:dyDescent="0.25">
      <c r="A500" s="129"/>
      <c r="B500" s="160"/>
      <c r="C500" s="160"/>
      <c r="D500" s="160"/>
      <c r="E500" s="158" t="s">
        <v>20</v>
      </c>
      <c r="F500" s="200"/>
      <c r="G500" s="43"/>
      <c r="H500" s="161" t="s">
        <v>14</v>
      </c>
      <c r="I500" s="136"/>
      <c r="J500" s="136"/>
      <c r="K500" s="137"/>
      <c r="L500" s="590">
        <v>0</v>
      </c>
      <c r="M500" s="49">
        <v>0</v>
      </c>
      <c r="N500" s="49">
        <v>0</v>
      </c>
      <c r="O500" s="49">
        <f t="shared" si="305"/>
        <v>0</v>
      </c>
      <c r="P500" s="49">
        <f t="shared" si="306"/>
        <v>0</v>
      </c>
      <c r="Q500" s="49">
        <v>0</v>
      </c>
      <c r="R500" s="49">
        <v>0</v>
      </c>
      <c r="S500" s="49">
        <v>0</v>
      </c>
      <c r="T500" s="49">
        <f t="shared" si="308"/>
        <v>0</v>
      </c>
      <c r="U500" s="49">
        <f t="shared" si="309"/>
        <v>0</v>
      </c>
    </row>
    <row r="501" spans="1:21" ht="18.75" hidden="1" x14ac:dyDescent="0.25">
      <c r="A501" s="129"/>
      <c r="B501" s="160"/>
      <c r="C501" s="160"/>
      <c r="D501" s="160"/>
      <c r="E501" s="271" t="s">
        <v>21</v>
      </c>
      <c r="F501" s="200"/>
      <c r="G501" s="43"/>
      <c r="H501" s="138" t="s">
        <v>14</v>
      </c>
      <c r="I501" s="136"/>
      <c r="J501" s="136"/>
      <c r="K501" s="137"/>
      <c r="L501" s="588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t="shared" ca="1" si="305"/>
        <v>0</v>
      </c>
      <c r="P501" s="47">
        <f t="shared" ca="1" si="306"/>
        <v>0</v>
      </c>
      <c r="Q501" s="47">
        <v>0</v>
      </c>
      <c r="R501" s="47">
        <v>0</v>
      </c>
      <c r="S501" s="47">
        <v>0</v>
      </c>
      <c r="T501" s="47">
        <f t="shared" si="308"/>
        <v>0</v>
      </c>
      <c r="U501" s="47">
        <f t="shared" si="309"/>
        <v>0</v>
      </c>
    </row>
    <row r="502" spans="1:21" ht="19.5" hidden="1" x14ac:dyDescent="0.3">
      <c r="A502" s="139"/>
      <c r="B502" s="140"/>
      <c r="C502" s="191" t="s">
        <v>18</v>
      </c>
      <c r="D502" s="740" t="s">
        <v>38</v>
      </c>
      <c r="E502" s="142"/>
      <c r="F502" s="142"/>
      <c r="G502" s="143"/>
      <c r="H502" s="192"/>
      <c r="I502" s="136"/>
      <c r="J502" s="136"/>
      <c r="K502" s="137"/>
      <c r="L502" s="619"/>
      <c r="M502" s="137"/>
      <c r="N502" s="137"/>
      <c r="O502" s="137"/>
      <c r="P502" s="137"/>
      <c r="Q502" s="137"/>
      <c r="R502" s="137"/>
      <c r="S502" s="137"/>
      <c r="T502" s="137"/>
      <c r="U502" s="137"/>
    </row>
    <row r="503" spans="1:21" ht="19.5" hidden="1" x14ac:dyDescent="0.3">
      <c r="A503" s="225"/>
      <c r="B503" s="160"/>
      <c r="C503" s="160"/>
      <c r="D503" s="367" t="s">
        <v>203</v>
      </c>
      <c r="E503" s="200"/>
      <c r="F503" s="200"/>
      <c r="G503" s="43"/>
      <c r="H503" s="134" t="s">
        <v>35</v>
      </c>
      <c r="I503" s="371">
        <f ca="1">IFERROR(__xludf.DUMMYFUNCTION("IMPORTRANGE(""https://docs.google.com/spreadsheets/d/1eHaY18a8A9IcSdp1K8H6x8fbOy06t2VsZHhMHf-1x7Y/edit?usp=sharing"",""แผน!GX82"")"),0)</f>
        <v>0</v>
      </c>
      <c r="J503" s="371">
        <f ca="1">IF(AND(J504=I504,J505=I505,J506=I506,J507=I507),I503,0)</f>
        <v>0</v>
      </c>
      <c r="K503" s="133">
        <f t="shared" ref="K503:K509" ca="1" si="316">IF(I503&gt;0,J503*100/I503,0)</f>
        <v>0</v>
      </c>
      <c r="L503" s="591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25"/>
      <c r="B504" s="160"/>
      <c r="C504" s="160"/>
      <c r="D504" s="160"/>
      <c r="E504" s="271" t="s">
        <v>204</v>
      </c>
      <c r="F504" s="200"/>
      <c r="G504" s="43"/>
      <c r="H504" s="134" t="s">
        <v>35</v>
      </c>
      <c r="I504" s="372">
        <f ca="1">IFERROR(__xludf.DUMMYFUNCTION("IMPORTRANGE(""https://docs.google.com/spreadsheets/d/1eHaY18a8A9IcSdp1K8H6x8fbOy06t2VsZHhMHf-1x7Y/edit?usp=sharing"",""แผน!GY82"")"),0)</f>
        <v>0</v>
      </c>
      <c r="J504" s="169">
        <v>0</v>
      </c>
      <c r="K504" s="47">
        <f t="shared" ca="1" si="316"/>
        <v>0</v>
      </c>
      <c r="L504" s="591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25"/>
      <c r="B505" s="160"/>
      <c r="C505" s="160"/>
      <c r="D505" s="160"/>
      <c r="E505" s="271" t="s">
        <v>205</v>
      </c>
      <c r="F505" s="200"/>
      <c r="G505" s="43"/>
      <c r="H505" s="134" t="s">
        <v>35</v>
      </c>
      <c r="I505" s="372">
        <f ca="1">IFERROR(__xludf.DUMMYFUNCTION("IMPORTRANGE(""https://docs.google.com/spreadsheets/d/1eHaY18a8A9IcSdp1K8H6x8fbOy06t2VsZHhMHf-1x7Y/edit?usp=sharing"",""แผน!GZ82"")"),0)</f>
        <v>0</v>
      </c>
      <c r="J505" s="169">
        <v>0</v>
      </c>
      <c r="K505" s="47">
        <f t="shared" ca="1" si="316"/>
        <v>0</v>
      </c>
      <c r="L505" s="591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25"/>
      <c r="B506" s="160"/>
      <c r="C506" s="160"/>
      <c r="D506" s="160"/>
      <c r="E506" s="271" t="s">
        <v>206</v>
      </c>
      <c r="F506" s="200"/>
      <c r="G506" s="43"/>
      <c r="H506" s="134" t="s">
        <v>35</v>
      </c>
      <c r="I506" s="372">
        <f ca="1">IFERROR(__xludf.DUMMYFUNCTION("IMPORTRANGE(""https://docs.google.com/spreadsheets/d/1eHaY18a8A9IcSdp1K8H6x8fbOy06t2VsZHhMHf-1x7Y/edit?usp=sharing"",""แผน!HA82"")"),0)</f>
        <v>0</v>
      </c>
      <c r="J506" s="169">
        <v>0</v>
      </c>
      <c r="K506" s="47">
        <f t="shared" ca="1" si="316"/>
        <v>0</v>
      </c>
      <c r="L506" s="591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25"/>
      <c r="B507" s="160"/>
      <c r="C507" s="160"/>
      <c r="D507" s="160"/>
      <c r="E507" s="376" t="s">
        <v>207</v>
      </c>
      <c r="F507" s="200"/>
      <c r="G507" s="43"/>
      <c r="H507" s="134" t="s">
        <v>35</v>
      </c>
      <c r="I507" s="372">
        <f ca="1">IFERROR(__xludf.DUMMYFUNCTION("IMPORTRANGE(""https://docs.google.com/spreadsheets/d/1eHaY18a8A9IcSdp1K8H6x8fbOy06t2VsZHhMHf-1x7Y/edit?usp=sharing"",""แผน!HB82"")"),0)</f>
        <v>0</v>
      </c>
      <c r="J507" s="169">
        <v>0</v>
      </c>
      <c r="K507" s="47">
        <f t="shared" ca="1" si="316"/>
        <v>0</v>
      </c>
      <c r="L507" s="591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25"/>
      <c r="B508" s="160"/>
      <c r="C508" s="160"/>
      <c r="D508" s="160"/>
      <c r="E508" s="271" t="s">
        <v>208</v>
      </c>
      <c r="F508" s="200"/>
      <c r="G508" s="43"/>
      <c r="H508" s="134" t="s">
        <v>35</v>
      </c>
      <c r="I508" s="372">
        <v>0</v>
      </c>
      <c r="J508" s="372">
        <v>0</v>
      </c>
      <c r="K508" s="47">
        <f t="shared" si="316"/>
        <v>0</v>
      </c>
      <c r="L508" s="591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73"/>
      <c r="B509" s="3"/>
      <c r="C509" s="3"/>
      <c r="D509" s="377" t="s">
        <v>50</v>
      </c>
      <c r="E509" s="1"/>
      <c r="F509" s="1"/>
      <c r="G509" s="53"/>
      <c r="H509" s="375" t="s">
        <v>35</v>
      </c>
      <c r="I509" s="205">
        <f ca="1">IFERROR(__xludf.DUMMYFUNCTION("IMPORTRANGE(""https://docs.google.com/spreadsheets/d/1eHaY18a8A9IcSdp1K8H6x8fbOy06t2VsZHhMHf-1x7Y/edit?usp=sharing"",""แผน!HC82"")"),0)</f>
        <v>0</v>
      </c>
      <c r="J509" s="378">
        <v>0</v>
      </c>
      <c r="K509" s="111">
        <f t="shared" ca="1" si="316"/>
        <v>0</v>
      </c>
      <c r="L509" s="592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771" t="s">
        <v>209</v>
      </c>
      <c r="B510" s="772"/>
      <c r="C510" s="772"/>
      <c r="D510" s="772"/>
      <c r="E510" s="773"/>
      <c r="F510" s="773"/>
      <c r="G510" s="773"/>
      <c r="H510" s="773"/>
      <c r="I510" s="774"/>
      <c r="J510" s="774"/>
      <c r="K510" s="775"/>
      <c r="L510" s="850"/>
      <c r="M510" s="851"/>
      <c r="N510" s="851"/>
      <c r="O510" s="851"/>
      <c r="P510" s="851"/>
      <c r="Q510" s="851"/>
      <c r="R510" s="851"/>
      <c r="S510" s="851"/>
      <c r="T510" s="851"/>
      <c r="U510" s="851"/>
    </row>
    <row r="511" spans="1:21" ht="19.5" hidden="1" x14ac:dyDescent="0.3">
      <c r="A511" s="852" t="s">
        <v>210</v>
      </c>
      <c r="B511" s="387"/>
      <c r="C511" s="387"/>
      <c r="D511" s="388"/>
      <c r="E511" s="387"/>
      <c r="F511" s="387"/>
      <c r="G511" s="387"/>
      <c r="H511" s="389"/>
      <c r="I511" s="390"/>
      <c r="J511" s="390"/>
      <c r="K511" s="391"/>
      <c r="L511" s="783"/>
      <c r="M511" s="392"/>
      <c r="N511" s="392"/>
      <c r="O511" s="392"/>
      <c r="P511" s="392"/>
      <c r="Q511" s="392"/>
      <c r="R511" s="392"/>
      <c r="S511" s="392"/>
      <c r="T511" s="392"/>
      <c r="U511" s="392"/>
    </row>
    <row r="512" spans="1:21" ht="19.5" hidden="1" x14ac:dyDescent="0.3">
      <c r="A512" s="393"/>
      <c r="B512" s="853" t="s">
        <v>211</v>
      </c>
      <c r="C512" s="395"/>
      <c r="D512" s="396"/>
      <c r="E512" s="396"/>
      <c r="F512" s="396"/>
      <c r="G512" s="397"/>
      <c r="H512" s="854" t="s">
        <v>61</v>
      </c>
      <c r="I512" s="855">
        <f t="shared" ref="I512:J512" si="317">I524</f>
        <v>0</v>
      </c>
      <c r="J512" s="855">
        <f t="shared" si="317"/>
        <v>0</v>
      </c>
      <c r="K512" s="856">
        <f>IF(I512&gt;0,J512*100/I512,0)</f>
        <v>0</v>
      </c>
      <c r="L512" s="792"/>
      <c r="M512" s="401"/>
      <c r="N512" s="401"/>
      <c r="O512" s="401"/>
      <c r="P512" s="401"/>
      <c r="Q512" s="401"/>
      <c r="R512" s="401"/>
      <c r="S512" s="401"/>
      <c r="T512" s="401"/>
      <c r="U512" s="401"/>
    </row>
    <row r="513" spans="1:21" ht="19.5" hidden="1" x14ac:dyDescent="0.3">
      <c r="A513" s="129"/>
      <c r="B513" s="200"/>
      <c r="C513" s="650" t="s">
        <v>18</v>
      </c>
      <c r="D513" s="651" t="s">
        <v>19</v>
      </c>
      <c r="E513" s="200"/>
      <c r="F513" s="200"/>
      <c r="G513" s="43"/>
      <c r="H513" s="857" t="s">
        <v>14</v>
      </c>
      <c r="I513" s="45"/>
      <c r="J513" s="45"/>
      <c r="K513" s="46"/>
      <c r="L513" s="617">
        <f t="shared" ref="L513:N513" ca="1" si="318">L514+L515</f>
        <v>0</v>
      </c>
      <c r="M513" s="133">
        <f t="shared" ca="1" si="318"/>
        <v>0</v>
      </c>
      <c r="N513" s="133">
        <f t="shared" ca="1" si="318"/>
        <v>0</v>
      </c>
      <c r="O513" s="133">
        <f t="shared" ref="O513:O521" ca="1" si="319">IF(L513&gt;0,N513*100/L513,0)</f>
        <v>0</v>
      </c>
      <c r="P513" s="133">
        <f t="shared" ref="P513:P521" ca="1" si="320">IF(M513&gt;0,N513*100/M513,0)</f>
        <v>0</v>
      </c>
      <c r="Q513" s="133">
        <f t="shared" ref="Q513:S513" si="321">Q514+Q515</f>
        <v>0</v>
      </c>
      <c r="R513" s="133">
        <f t="shared" si="321"/>
        <v>0</v>
      </c>
      <c r="S513" s="133">
        <f t="shared" si="321"/>
        <v>0</v>
      </c>
      <c r="T513" s="133">
        <f t="shared" ref="T513:T521" si="322">IF(Q513&gt;0,S513*100/Q513,0)</f>
        <v>0</v>
      </c>
      <c r="U513" s="133">
        <f t="shared" ref="U513:U521" si="323">IF(R513&gt;0,S513*100/R513,0)</f>
        <v>0</v>
      </c>
    </row>
    <row r="514" spans="1:21" ht="18.75" hidden="1" x14ac:dyDescent="0.25">
      <c r="A514" s="129"/>
      <c r="B514" s="200"/>
      <c r="C514" s="200"/>
      <c r="D514" s="200"/>
      <c r="E514" s="158" t="s">
        <v>20</v>
      </c>
      <c r="F514" s="200"/>
      <c r="G514" s="43"/>
      <c r="H514" s="159" t="s">
        <v>14</v>
      </c>
      <c r="I514" s="45"/>
      <c r="J514" s="45"/>
      <c r="K514" s="46"/>
      <c r="L514" s="590">
        <f t="shared" ref="L514:N515" si="324">L517+L520</f>
        <v>0</v>
      </c>
      <c r="M514" s="49">
        <f t="shared" si="324"/>
        <v>0</v>
      </c>
      <c r="N514" s="49">
        <f t="shared" si="324"/>
        <v>0</v>
      </c>
      <c r="O514" s="49">
        <f t="shared" si="319"/>
        <v>0</v>
      </c>
      <c r="P514" s="49">
        <f t="shared" si="320"/>
        <v>0</v>
      </c>
      <c r="Q514" s="49">
        <f t="shared" ref="Q514:S515" si="325">Q517+Q520</f>
        <v>0</v>
      </c>
      <c r="R514" s="49">
        <f t="shared" si="325"/>
        <v>0</v>
      </c>
      <c r="S514" s="49">
        <f t="shared" si="325"/>
        <v>0</v>
      </c>
      <c r="T514" s="49">
        <f t="shared" si="322"/>
        <v>0</v>
      </c>
      <c r="U514" s="49">
        <f t="shared" si="323"/>
        <v>0</v>
      </c>
    </row>
    <row r="515" spans="1:21" ht="18.75" hidden="1" x14ac:dyDescent="0.25">
      <c r="A515" s="129"/>
      <c r="B515" s="200"/>
      <c r="C515" s="200"/>
      <c r="D515" s="200"/>
      <c r="E515" s="158" t="s">
        <v>21</v>
      </c>
      <c r="F515" s="200"/>
      <c r="G515" s="43"/>
      <c r="H515" s="159" t="s">
        <v>14</v>
      </c>
      <c r="I515" s="45"/>
      <c r="J515" s="45"/>
      <c r="K515" s="46"/>
      <c r="L515" s="588">
        <f t="shared" ca="1" si="324"/>
        <v>0</v>
      </c>
      <c r="M515" s="47">
        <f t="shared" ca="1" si="324"/>
        <v>0</v>
      </c>
      <c r="N515" s="47">
        <f t="shared" ca="1" si="324"/>
        <v>0</v>
      </c>
      <c r="O515" s="47">
        <f t="shared" ca="1" si="319"/>
        <v>0</v>
      </c>
      <c r="P515" s="47">
        <f t="shared" ca="1" si="320"/>
        <v>0</v>
      </c>
      <c r="Q515" s="47">
        <f t="shared" si="325"/>
        <v>0</v>
      </c>
      <c r="R515" s="47">
        <f t="shared" si="325"/>
        <v>0</v>
      </c>
      <c r="S515" s="47">
        <f t="shared" si="325"/>
        <v>0</v>
      </c>
      <c r="T515" s="47">
        <f t="shared" si="322"/>
        <v>0</v>
      </c>
      <c r="U515" s="47">
        <f t="shared" si="323"/>
        <v>0</v>
      </c>
    </row>
    <row r="516" spans="1:21" ht="18.75" hidden="1" x14ac:dyDescent="0.25">
      <c r="A516" s="129"/>
      <c r="B516" s="200"/>
      <c r="C516" s="200"/>
      <c r="D516" s="858" t="s">
        <v>22</v>
      </c>
      <c r="E516" s="200"/>
      <c r="F516" s="200"/>
      <c r="G516" s="43"/>
      <c r="H516" s="161" t="s">
        <v>14</v>
      </c>
      <c r="I516" s="136"/>
      <c r="J516" s="136"/>
      <c r="K516" s="137"/>
      <c r="L516" s="588">
        <f t="shared" ref="L516:N516" ca="1" si="326">L517+L518</f>
        <v>0</v>
      </c>
      <c r="M516" s="47">
        <f t="shared" ca="1" si="326"/>
        <v>0</v>
      </c>
      <c r="N516" s="47">
        <f t="shared" ca="1" si="326"/>
        <v>0</v>
      </c>
      <c r="O516" s="47">
        <f t="shared" ca="1" si="319"/>
        <v>0</v>
      </c>
      <c r="P516" s="47">
        <f t="shared" ca="1" si="320"/>
        <v>0</v>
      </c>
      <c r="Q516" s="47">
        <f t="shared" ref="Q516:S516" si="327">Q517+Q518</f>
        <v>0</v>
      </c>
      <c r="R516" s="47">
        <f t="shared" si="327"/>
        <v>0</v>
      </c>
      <c r="S516" s="47">
        <f t="shared" si="327"/>
        <v>0</v>
      </c>
      <c r="T516" s="47">
        <f t="shared" si="322"/>
        <v>0</v>
      </c>
      <c r="U516" s="47">
        <f t="shared" si="323"/>
        <v>0</v>
      </c>
    </row>
    <row r="517" spans="1:21" ht="18.75" hidden="1" x14ac:dyDescent="0.25">
      <c r="A517" s="129"/>
      <c r="B517" s="200"/>
      <c r="C517" s="200"/>
      <c r="D517" s="200"/>
      <c r="E517" s="158" t="s">
        <v>36</v>
      </c>
      <c r="F517" s="200"/>
      <c r="G517" s="43"/>
      <c r="H517" s="161" t="s">
        <v>14</v>
      </c>
      <c r="I517" s="136"/>
      <c r="J517" s="136"/>
      <c r="K517" s="137"/>
      <c r="L517" s="590">
        <v>0</v>
      </c>
      <c r="M517" s="49">
        <v>0</v>
      </c>
      <c r="N517" s="49">
        <v>0</v>
      </c>
      <c r="O517" s="49">
        <f t="shared" si="319"/>
        <v>0</v>
      </c>
      <c r="P517" s="49">
        <f t="shared" si="320"/>
        <v>0</v>
      </c>
      <c r="Q517" s="49">
        <v>0</v>
      </c>
      <c r="R517" s="49">
        <v>0</v>
      </c>
      <c r="S517" s="49">
        <v>0</v>
      </c>
      <c r="T517" s="49">
        <f t="shared" si="322"/>
        <v>0</v>
      </c>
      <c r="U517" s="49">
        <f t="shared" si="323"/>
        <v>0</v>
      </c>
    </row>
    <row r="518" spans="1:21" ht="18.75" hidden="1" x14ac:dyDescent="0.25">
      <c r="A518" s="129"/>
      <c r="B518" s="200"/>
      <c r="C518" s="200"/>
      <c r="D518" s="200"/>
      <c r="E518" s="158" t="s">
        <v>37</v>
      </c>
      <c r="F518" s="200"/>
      <c r="G518" s="43"/>
      <c r="H518" s="161" t="s">
        <v>14</v>
      </c>
      <c r="I518" s="136"/>
      <c r="J518" s="136"/>
      <c r="K518" s="137"/>
      <c r="L518" s="588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t="shared" ca="1" si="319"/>
        <v>0</v>
      </c>
      <c r="P518" s="47">
        <f t="shared" ca="1" si="320"/>
        <v>0</v>
      </c>
      <c r="Q518" s="47">
        <v>0</v>
      </c>
      <c r="R518" s="47">
        <v>0</v>
      </c>
      <c r="S518" s="47">
        <v>0</v>
      </c>
      <c r="T518" s="47">
        <f t="shared" si="322"/>
        <v>0</v>
      </c>
      <c r="U518" s="47">
        <f t="shared" si="323"/>
        <v>0</v>
      </c>
    </row>
    <row r="519" spans="1:21" ht="18.75" hidden="1" x14ac:dyDescent="0.25">
      <c r="A519" s="129"/>
      <c r="B519" s="200"/>
      <c r="C519" s="200"/>
      <c r="D519" s="858" t="s">
        <v>23</v>
      </c>
      <c r="E519" s="200"/>
      <c r="F519" s="200"/>
      <c r="G519" s="43"/>
      <c r="H519" s="515" t="s">
        <v>14</v>
      </c>
      <c r="I519" s="136"/>
      <c r="J519" s="136"/>
      <c r="K519" s="137"/>
      <c r="L519" s="588">
        <f t="shared" ref="L519:N519" ca="1" si="328">L520+L521</f>
        <v>0</v>
      </c>
      <c r="M519" s="47">
        <f t="shared" ca="1" si="328"/>
        <v>0</v>
      </c>
      <c r="N519" s="47">
        <f t="shared" ca="1" si="328"/>
        <v>0</v>
      </c>
      <c r="O519" s="47">
        <f t="shared" ca="1" si="319"/>
        <v>0</v>
      </c>
      <c r="P519" s="47">
        <f t="shared" ca="1" si="320"/>
        <v>0</v>
      </c>
      <c r="Q519" s="47">
        <f t="shared" ref="Q519:S519" si="329">Q520+Q521</f>
        <v>0</v>
      </c>
      <c r="R519" s="47">
        <f t="shared" si="329"/>
        <v>0</v>
      </c>
      <c r="S519" s="47">
        <f t="shared" si="329"/>
        <v>0</v>
      </c>
      <c r="T519" s="47">
        <f t="shared" si="322"/>
        <v>0</v>
      </c>
      <c r="U519" s="47">
        <f t="shared" si="323"/>
        <v>0</v>
      </c>
    </row>
    <row r="520" spans="1:21" ht="18.75" hidden="1" x14ac:dyDescent="0.25">
      <c r="A520" s="129"/>
      <c r="B520" s="200"/>
      <c r="C520" s="200"/>
      <c r="D520" s="200"/>
      <c r="E520" s="158" t="s">
        <v>20</v>
      </c>
      <c r="F520" s="200"/>
      <c r="G520" s="43"/>
      <c r="H520" s="161" t="s">
        <v>14</v>
      </c>
      <c r="I520" s="136"/>
      <c r="J520" s="136"/>
      <c r="K520" s="137"/>
      <c r="L520" s="590">
        <v>0</v>
      </c>
      <c r="M520" s="49">
        <v>0</v>
      </c>
      <c r="N520" s="49">
        <v>0</v>
      </c>
      <c r="O520" s="49">
        <f t="shared" si="319"/>
        <v>0</v>
      </c>
      <c r="P520" s="49">
        <f t="shared" si="320"/>
        <v>0</v>
      </c>
      <c r="Q520" s="49">
        <v>0</v>
      </c>
      <c r="R520" s="49">
        <v>0</v>
      </c>
      <c r="S520" s="49">
        <v>0</v>
      </c>
      <c r="T520" s="49">
        <f t="shared" si="322"/>
        <v>0</v>
      </c>
      <c r="U520" s="49">
        <f t="shared" si="323"/>
        <v>0</v>
      </c>
    </row>
    <row r="521" spans="1:21" ht="18.75" hidden="1" x14ac:dyDescent="0.25">
      <c r="A521" s="129"/>
      <c r="B521" s="200"/>
      <c r="C521" s="200"/>
      <c r="D521" s="200"/>
      <c r="E521" s="158" t="s">
        <v>21</v>
      </c>
      <c r="F521" s="200"/>
      <c r="G521" s="43"/>
      <c r="H521" s="515" t="s">
        <v>14</v>
      </c>
      <c r="I521" s="136"/>
      <c r="J521" s="136"/>
      <c r="K521" s="137"/>
      <c r="L521" s="588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t="shared" ca="1" si="319"/>
        <v>0</v>
      </c>
      <c r="P521" s="47">
        <f t="shared" ca="1" si="320"/>
        <v>0</v>
      </c>
      <c r="Q521" s="47">
        <v>0</v>
      </c>
      <c r="R521" s="47">
        <v>0</v>
      </c>
      <c r="S521" s="47">
        <v>0</v>
      </c>
      <c r="T521" s="47">
        <f t="shared" si="322"/>
        <v>0</v>
      </c>
      <c r="U521" s="47">
        <f t="shared" si="323"/>
        <v>0</v>
      </c>
    </row>
    <row r="522" spans="1:21" ht="19.5" hidden="1" x14ac:dyDescent="0.3">
      <c r="A522" s="139"/>
      <c r="B522" s="140"/>
      <c r="C522" s="650" t="s">
        <v>18</v>
      </c>
      <c r="D522" s="666" t="s">
        <v>38</v>
      </c>
      <c r="E522" s="142"/>
      <c r="F522" s="142"/>
      <c r="G522" s="143"/>
      <c r="H522" s="144"/>
      <c r="I522" s="136"/>
      <c r="J522" s="45"/>
      <c r="K522" s="46"/>
      <c r="L522" s="591"/>
      <c r="M522" s="46"/>
      <c r="N522" s="46"/>
      <c r="O522" s="137"/>
      <c r="P522" s="137"/>
      <c r="Q522" s="46"/>
      <c r="R522" s="46"/>
      <c r="S522" s="46"/>
      <c r="T522" s="137"/>
      <c r="U522" s="137"/>
    </row>
    <row r="523" spans="1:21" ht="18.75" hidden="1" x14ac:dyDescent="0.25">
      <c r="A523" s="225"/>
      <c r="B523" s="200"/>
      <c r="C523" s="160"/>
      <c r="D523" s="193" t="s">
        <v>212</v>
      </c>
      <c r="E523" s="140"/>
      <c r="F523" s="200"/>
      <c r="G523" s="43"/>
      <c r="H523" s="633" t="s">
        <v>11</v>
      </c>
      <c r="I523" s="517">
        <v>0</v>
      </c>
      <c r="J523" s="627">
        <v>0</v>
      </c>
      <c r="K523" s="49">
        <f t="shared" ref="K523:K524" si="330">IF(I523&gt;0,J523*100/I523,0)</f>
        <v>0</v>
      </c>
      <c r="L523" s="591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73"/>
      <c r="B524" s="1"/>
      <c r="C524" s="3"/>
      <c r="D524" s="859" t="s">
        <v>213</v>
      </c>
      <c r="E524" s="275"/>
      <c r="F524" s="1"/>
      <c r="G524" s="53"/>
      <c r="H524" s="860" t="s">
        <v>61</v>
      </c>
      <c r="I524" s="520">
        <v>0</v>
      </c>
      <c r="J524" s="629">
        <v>0</v>
      </c>
      <c r="K524" s="630">
        <f t="shared" si="330"/>
        <v>0</v>
      </c>
      <c r="L524" s="591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796"/>
      <c r="B525" s="797"/>
      <c r="C525" s="797"/>
      <c r="D525" s="798"/>
      <c r="E525" s="798"/>
      <c r="F525" s="798"/>
      <c r="G525" s="799"/>
      <c r="H525" s="800"/>
      <c r="I525" s="801"/>
      <c r="J525" s="801"/>
      <c r="K525" s="802"/>
      <c r="L525" s="743"/>
      <c r="M525" s="256"/>
      <c r="N525" s="256"/>
      <c r="O525" s="256"/>
      <c r="P525" s="256"/>
      <c r="Q525" s="256"/>
      <c r="R525" s="256"/>
      <c r="S525" s="256"/>
      <c r="T525" s="256"/>
      <c r="U525" s="256"/>
    </row>
    <row r="526" spans="1:21" ht="12.75" hidden="1" x14ac:dyDescent="0.2">
      <c r="A526" s="250"/>
      <c r="B526" s="251"/>
      <c r="C526" s="251"/>
      <c r="D526" s="252"/>
      <c r="E526" s="252"/>
      <c r="F526" s="252"/>
      <c r="G526" s="253"/>
      <c r="H526" s="254"/>
      <c r="I526" s="255"/>
      <c r="J526" s="255"/>
      <c r="K526" s="256"/>
      <c r="L526" s="743"/>
      <c r="M526" s="256"/>
      <c r="N526" s="256"/>
      <c r="O526" s="256"/>
      <c r="P526" s="256"/>
      <c r="Q526" s="256"/>
      <c r="R526" s="256"/>
      <c r="S526" s="256"/>
      <c r="T526" s="256"/>
      <c r="U526" s="256"/>
    </row>
    <row r="527" spans="1:21" ht="12.75" hidden="1" x14ac:dyDescent="0.2">
      <c r="A527" s="250"/>
      <c r="B527" s="251"/>
      <c r="C527" s="251"/>
      <c r="D527" s="252"/>
      <c r="E527" s="252"/>
      <c r="F527" s="252"/>
      <c r="G527" s="253"/>
      <c r="H527" s="254"/>
      <c r="I527" s="255"/>
      <c r="J527" s="255"/>
      <c r="K527" s="256"/>
      <c r="L527" s="743"/>
      <c r="M527" s="256"/>
      <c r="N527" s="256"/>
      <c r="O527" s="256"/>
      <c r="P527" s="256"/>
      <c r="Q527" s="256"/>
      <c r="R527" s="256"/>
      <c r="S527" s="256"/>
      <c r="T527" s="256"/>
      <c r="U527" s="256"/>
    </row>
    <row r="528" spans="1:21" ht="12.75" hidden="1" x14ac:dyDescent="0.2">
      <c r="A528" s="250"/>
      <c r="B528" s="251"/>
      <c r="C528" s="251"/>
      <c r="D528" s="252"/>
      <c r="E528" s="252"/>
      <c r="F528" s="252"/>
      <c r="G528" s="253"/>
      <c r="H528" s="254"/>
      <c r="I528" s="255"/>
      <c r="J528" s="255"/>
      <c r="K528" s="256"/>
      <c r="L528" s="743"/>
      <c r="M528" s="256"/>
      <c r="N528" s="256"/>
      <c r="O528" s="256"/>
      <c r="P528" s="256"/>
      <c r="Q528" s="256"/>
      <c r="R528" s="256"/>
      <c r="S528" s="256"/>
      <c r="T528" s="256"/>
      <c r="U528" s="256"/>
    </row>
    <row r="529" spans="1:21" ht="12.75" hidden="1" x14ac:dyDescent="0.2">
      <c r="A529" s="250"/>
      <c r="B529" s="251"/>
      <c r="C529" s="251"/>
      <c r="D529" s="252"/>
      <c r="E529" s="252"/>
      <c r="F529" s="252"/>
      <c r="G529" s="253"/>
      <c r="H529" s="254"/>
      <c r="I529" s="255"/>
      <c r="J529" s="255"/>
      <c r="K529" s="256"/>
      <c r="L529" s="743"/>
      <c r="M529" s="256"/>
      <c r="N529" s="256"/>
      <c r="O529" s="256"/>
      <c r="P529" s="256"/>
      <c r="Q529" s="256"/>
      <c r="R529" s="256"/>
      <c r="S529" s="256"/>
      <c r="T529" s="256"/>
      <c r="U529" s="256"/>
    </row>
    <row r="530" spans="1:21" ht="12.75" hidden="1" x14ac:dyDescent="0.2">
      <c r="A530" s="250"/>
      <c r="B530" s="251"/>
      <c r="C530" s="251"/>
      <c r="D530" s="252"/>
      <c r="E530" s="252"/>
      <c r="F530" s="252"/>
      <c r="G530" s="253"/>
      <c r="H530" s="254"/>
      <c r="I530" s="255"/>
      <c r="J530" s="255"/>
      <c r="K530" s="256"/>
      <c r="L530" s="743"/>
      <c r="M530" s="256"/>
      <c r="N530" s="256"/>
      <c r="O530" s="256"/>
      <c r="P530" s="256"/>
      <c r="Q530" s="256"/>
      <c r="R530" s="256"/>
      <c r="S530" s="256"/>
      <c r="T530" s="256"/>
      <c r="U530" s="256"/>
    </row>
    <row r="531" spans="1:21" ht="12.75" hidden="1" x14ac:dyDescent="0.2">
      <c r="A531" s="250"/>
      <c r="B531" s="251"/>
      <c r="C531" s="251"/>
      <c r="D531" s="252"/>
      <c r="E531" s="252"/>
      <c r="F531" s="252"/>
      <c r="G531" s="253"/>
      <c r="H531" s="254"/>
      <c r="I531" s="255"/>
      <c r="J531" s="255"/>
      <c r="K531" s="256"/>
      <c r="L531" s="743"/>
      <c r="M531" s="256"/>
      <c r="N531" s="256"/>
      <c r="O531" s="256"/>
      <c r="P531" s="256"/>
      <c r="Q531" s="256"/>
      <c r="R531" s="256"/>
      <c r="S531" s="256"/>
      <c r="T531" s="256"/>
      <c r="U531" s="256"/>
    </row>
    <row r="532" spans="1:21" ht="12.75" hidden="1" x14ac:dyDescent="0.2">
      <c r="A532" s="404"/>
      <c r="B532" s="354"/>
      <c r="C532" s="354"/>
      <c r="D532" s="405"/>
      <c r="E532" s="405"/>
      <c r="F532" s="405"/>
      <c r="G532" s="406"/>
      <c r="H532" s="355"/>
      <c r="I532" s="356"/>
      <c r="J532" s="356"/>
      <c r="K532" s="357"/>
      <c r="L532" s="744"/>
      <c r="M532" s="357"/>
      <c r="N532" s="357"/>
      <c r="O532" s="357"/>
      <c r="P532" s="357"/>
      <c r="Q532" s="357"/>
      <c r="R532" s="357"/>
      <c r="S532" s="357"/>
      <c r="T532" s="357"/>
      <c r="U532" s="357"/>
    </row>
    <row r="533" spans="1:21" ht="19.5" hidden="1" x14ac:dyDescent="0.3">
      <c r="A533" s="393"/>
      <c r="B533" s="394" t="s">
        <v>214</v>
      </c>
      <c r="C533" s="395"/>
      <c r="D533" s="396"/>
      <c r="E533" s="396"/>
      <c r="F533" s="396"/>
      <c r="G533" s="397"/>
      <c r="H533" s="407" t="s">
        <v>61</v>
      </c>
      <c r="I533" s="818">
        <f t="shared" ref="I533:J533" si="331">I545</f>
        <v>0</v>
      </c>
      <c r="J533" s="818">
        <f t="shared" si="331"/>
        <v>0</v>
      </c>
      <c r="K533" s="400">
        <f>IF(I533&gt;0,J533*100/I533,0)</f>
        <v>0</v>
      </c>
      <c r="L533" s="792"/>
      <c r="M533" s="401"/>
      <c r="N533" s="401"/>
      <c r="O533" s="401"/>
      <c r="P533" s="401"/>
      <c r="Q533" s="401"/>
      <c r="R533" s="401"/>
      <c r="S533" s="401"/>
      <c r="T533" s="401"/>
      <c r="U533" s="401"/>
    </row>
    <row r="534" spans="1:21" ht="19.5" hidden="1" x14ac:dyDescent="0.3">
      <c r="A534" s="129"/>
      <c r="B534" s="200"/>
      <c r="C534" s="199" t="s">
        <v>18</v>
      </c>
      <c r="D534" s="616" t="s">
        <v>19</v>
      </c>
      <c r="E534" s="200"/>
      <c r="F534" s="200"/>
      <c r="G534" s="43"/>
      <c r="H534" s="132" t="s">
        <v>14</v>
      </c>
      <c r="I534" s="45"/>
      <c r="J534" s="45"/>
      <c r="K534" s="46"/>
      <c r="L534" s="617">
        <f t="shared" ref="L534:N534" ca="1" si="332">L535+L536</f>
        <v>0</v>
      </c>
      <c r="M534" s="133">
        <f t="shared" ca="1" si="332"/>
        <v>0</v>
      </c>
      <c r="N534" s="133">
        <f t="shared" ca="1" si="332"/>
        <v>0</v>
      </c>
      <c r="O534" s="133">
        <f t="shared" ref="O534:O542" ca="1" si="333">IF(L534&gt;0,N534*100/L534,0)</f>
        <v>0</v>
      </c>
      <c r="P534" s="133">
        <f t="shared" ref="P534:P542" ca="1" si="334">IF(M534&gt;0,N534*100/M534,0)</f>
        <v>0</v>
      </c>
      <c r="Q534" s="133">
        <f t="shared" ref="Q534:S534" si="335">Q535+Q536</f>
        <v>0</v>
      </c>
      <c r="R534" s="133">
        <f t="shared" si="335"/>
        <v>0</v>
      </c>
      <c r="S534" s="133">
        <f t="shared" si="335"/>
        <v>0</v>
      </c>
      <c r="T534" s="133">
        <f t="shared" ref="T534:T542" si="336">IF(Q534&gt;0,S534*100/Q534,0)</f>
        <v>0</v>
      </c>
      <c r="U534" s="133">
        <f t="shared" ref="U534:U542" si="337">IF(R534&gt;0,S534*100/R534,0)</f>
        <v>0</v>
      </c>
    </row>
    <row r="535" spans="1:21" ht="18.75" hidden="1" x14ac:dyDescent="0.25">
      <c r="A535" s="129"/>
      <c r="B535" s="160"/>
      <c r="C535" s="200"/>
      <c r="D535" s="200"/>
      <c r="E535" s="158" t="s">
        <v>20</v>
      </c>
      <c r="F535" s="200"/>
      <c r="G535" s="43"/>
      <c r="H535" s="159" t="s">
        <v>14</v>
      </c>
      <c r="I535" s="45"/>
      <c r="J535" s="45"/>
      <c r="K535" s="46"/>
      <c r="L535" s="590">
        <f t="shared" ref="L535:N536" si="338">L538+L541</f>
        <v>0</v>
      </c>
      <c r="M535" s="49">
        <f t="shared" si="338"/>
        <v>0</v>
      </c>
      <c r="N535" s="49">
        <f t="shared" si="338"/>
        <v>0</v>
      </c>
      <c r="O535" s="49">
        <f t="shared" si="333"/>
        <v>0</v>
      </c>
      <c r="P535" s="49">
        <f t="shared" si="334"/>
        <v>0</v>
      </c>
      <c r="Q535" s="49">
        <f t="shared" ref="Q535:S536" si="339">Q538+Q541</f>
        <v>0</v>
      </c>
      <c r="R535" s="49">
        <f t="shared" si="339"/>
        <v>0</v>
      </c>
      <c r="S535" s="49">
        <f t="shared" si="339"/>
        <v>0</v>
      </c>
      <c r="T535" s="49">
        <f t="shared" si="336"/>
        <v>0</v>
      </c>
      <c r="U535" s="49">
        <f t="shared" si="337"/>
        <v>0</v>
      </c>
    </row>
    <row r="536" spans="1:21" ht="18.75" hidden="1" x14ac:dyDescent="0.25">
      <c r="A536" s="129"/>
      <c r="B536" s="200"/>
      <c r="C536" s="160"/>
      <c r="D536" s="200"/>
      <c r="E536" s="496" t="s">
        <v>21</v>
      </c>
      <c r="F536" s="200"/>
      <c r="G536" s="43"/>
      <c r="H536" s="134" t="s">
        <v>14</v>
      </c>
      <c r="I536" s="45"/>
      <c r="J536" s="45"/>
      <c r="K536" s="46"/>
      <c r="L536" s="588">
        <f t="shared" ca="1" si="338"/>
        <v>0</v>
      </c>
      <c r="M536" s="47">
        <f t="shared" ca="1" si="338"/>
        <v>0</v>
      </c>
      <c r="N536" s="47">
        <f t="shared" ca="1" si="338"/>
        <v>0</v>
      </c>
      <c r="O536" s="47">
        <f t="shared" ca="1" si="333"/>
        <v>0</v>
      </c>
      <c r="P536" s="47">
        <f t="shared" ca="1" si="334"/>
        <v>0</v>
      </c>
      <c r="Q536" s="47">
        <f t="shared" si="339"/>
        <v>0</v>
      </c>
      <c r="R536" s="47">
        <f t="shared" si="339"/>
        <v>0</v>
      </c>
      <c r="S536" s="47">
        <f t="shared" si="339"/>
        <v>0</v>
      </c>
      <c r="T536" s="47">
        <f t="shared" si="336"/>
        <v>0</v>
      </c>
      <c r="U536" s="47">
        <f t="shared" si="337"/>
        <v>0</v>
      </c>
    </row>
    <row r="537" spans="1:21" ht="18.75" hidden="1" x14ac:dyDescent="0.25">
      <c r="A537" s="129"/>
      <c r="B537" s="200"/>
      <c r="C537" s="160"/>
      <c r="D537" s="42" t="s">
        <v>22</v>
      </c>
      <c r="E537" s="160"/>
      <c r="F537" s="200"/>
      <c r="G537" s="43"/>
      <c r="H537" s="135" t="s">
        <v>14</v>
      </c>
      <c r="I537" s="136"/>
      <c r="J537" s="136"/>
      <c r="K537" s="137"/>
      <c r="L537" s="588">
        <f t="shared" ref="L537:N537" ca="1" si="340">L538+L539</f>
        <v>0</v>
      </c>
      <c r="M537" s="47">
        <f t="shared" ca="1" si="340"/>
        <v>0</v>
      </c>
      <c r="N537" s="47">
        <f t="shared" ca="1" si="340"/>
        <v>0</v>
      </c>
      <c r="O537" s="47">
        <f t="shared" ca="1" si="333"/>
        <v>0</v>
      </c>
      <c r="P537" s="47">
        <f t="shared" ca="1" si="334"/>
        <v>0</v>
      </c>
      <c r="Q537" s="47">
        <f t="shared" ref="Q537:S537" si="341">Q538+Q539</f>
        <v>0</v>
      </c>
      <c r="R537" s="47">
        <f t="shared" si="341"/>
        <v>0</v>
      </c>
      <c r="S537" s="47">
        <f t="shared" si="341"/>
        <v>0</v>
      </c>
      <c r="T537" s="47">
        <f t="shared" si="336"/>
        <v>0</v>
      </c>
      <c r="U537" s="47">
        <f t="shared" si="337"/>
        <v>0</v>
      </c>
    </row>
    <row r="538" spans="1:21" ht="18.75" hidden="1" x14ac:dyDescent="0.25">
      <c r="A538" s="129"/>
      <c r="B538" s="200"/>
      <c r="C538" s="200"/>
      <c r="D538" s="200"/>
      <c r="E538" s="158" t="s">
        <v>36</v>
      </c>
      <c r="F538" s="200"/>
      <c r="G538" s="43"/>
      <c r="H538" s="161" t="s">
        <v>14</v>
      </c>
      <c r="I538" s="136"/>
      <c r="J538" s="136"/>
      <c r="K538" s="137"/>
      <c r="L538" s="590">
        <v>0</v>
      </c>
      <c r="M538" s="49">
        <v>0</v>
      </c>
      <c r="N538" s="49">
        <v>0</v>
      </c>
      <c r="O538" s="49">
        <f t="shared" si="333"/>
        <v>0</v>
      </c>
      <c r="P538" s="49">
        <f t="shared" si="334"/>
        <v>0</v>
      </c>
      <c r="Q538" s="49">
        <v>0</v>
      </c>
      <c r="R538" s="49">
        <v>0</v>
      </c>
      <c r="S538" s="49">
        <v>0</v>
      </c>
      <c r="T538" s="49">
        <f t="shared" si="336"/>
        <v>0</v>
      </c>
      <c r="U538" s="49">
        <f t="shared" si="337"/>
        <v>0</v>
      </c>
    </row>
    <row r="539" spans="1:21" ht="18.75" hidden="1" x14ac:dyDescent="0.25">
      <c r="A539" s="129"/>
      <c r="B539" s="200"/>
      <c r="C539" s="200"/>
      <c r="D539" s="200"/>
      <c r="E539" s="271" t="s">
        <v>37</v>
      </c>
      <c r="F539" s="200"/>
      <c r="G539" s="43"/>
      <c r="H539" s="135" t="s">
        <v>14</v>
      </c>
      <c r="I539" s="136"/>
      <c r="J539" s="136"/>
      <c r="K539" s="137"/>
      <c r="L539" s="588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t="shared" ca="1" si="333"/>
        <v>0</v>
      </c>
      <c r="P539" s="47">
        <f t="shared" ca="1" si="334"/>
        <v>0</v>
      </c>
      <c r="Q539" s="47">
        <v>0</v>
      </c>
      <c r="R539" s="47">
        <v>0</v>
      </c>
      <c r="S539" s="47">
        <v>0</v>
      </c>
      <c r="T539" s="47">
        <f t="shared" si="336"/>
        <v>0</v>
      </c>
      <c r="U539" s="47">
        <f t="shared" si="337"/>
        <v>0</v>
      </c>
    </row>
    <row r="540" spans="1:21" ht="18.75" hidden="1" x14ac:dyDescent="0.25">
      <c r="A540" s="129"/>
      <c r="B540" s="200"/>
      <c r="C540" s="200"/>
      <c r="D540" s="42" t="s">
        <v>23</v>
      </c>
      <c r="E540" s="200"/>
      <c r="F540" s="200"/>
      <c r="G540" s="43"/>
      <c r="H540" s="138" t="s">
        <v>14</v>
      </c>
      <c r="I540" s="136"/>
      <c r="J540" s="136"/>
      <c r="K540" s="137"/>
      <c r="L540" s="588">
        <f t="shared" ref="L540:N540" ca="1" si="342">L541+L542</f>
        <v>0</v>
      </c>
      <c r="M540" s="47">
        <f t="shared" ca="1" si="342"/>
        <v>0</v>
      </c>
      <c r="N540" s="47">
        <f t="shared" ca="1" si="342"/>
        <v>0</v>
      </c>
      <c r="O540" s="47">
        <f t="shared" ca="1" si="333"/>
        <v>0</v>
      </c>
      <c r="P540" s="47">
        <f t="shared" ca="1" si="334"/>
        <v>0</v>
      </c>
      <c r="Q540" s="47">
        <f t="shared" ref="Q540:S540" si="343">Q541+Q542</f>
        <v>0</v>
      </c>
      <c r="R540" s="47">
        <f t="shared" si="343"/>
        <v>0</v>
      </c>
      <c r="S540" s="47">
        <f t="shared" si="343"/>
        <v>0</v>
      </c>
      <c r="T540" s="47">
        <f t="shared" si="336"/>
        <v>0</v>
      </c>
      <c r="U540" s="47">
        <f t="shared" si="337"/>
        <v>0</v>
      </c>
    </row>
    <row r="541" spans="1:21" ht="18.75" hidden="1" x14ac:dyDescent="0.25">
      <c r="A541" s="129"/>
      <c r="B541" s="200"/>
      <c r="C541" s="200"/>
      <c r="D541" s="200"/>
      <c r="E541" s="158" t="s">
        <v>20</v>
      </c>
      <c r="F541" s="200"/>
      <c r="G541" s="43"/>
      <c r="H541" s="161" t="s">
        <v>14</v>
      </c>
      <c r="I541" s="136"/>
      <c r="J541" s="136"/>
      <c r="K541" s="137"/>
      <c r="L541" s="590">
        <v>0</v>
      </c>
      <c r="M541" s="49">
        <v>0</v>
      </c>
      <c r="N541" s="49">
        <v>0</v>
      </c>
      <c r="O541" s="49">
        <f t="shared" si="333"/>
        <v>0</v>
      </c>
      <c r="P541" s="49">
        <f t="shared" si="334"/>
        <v>0</v>
      </c>
      <c r="Q541" s="49">
        <v>0</v>
      </c>
      <c r="R541" s="49">
        <v>0</v>
      </c>
      <c r="S541" s="49">
        <v>0</v>
      </c>
      <c r="T541" s="49">
        <f t="shared" si="336"/>
        <v>0</v>
      </c>
      <c r="U541" s="49">
        <f t="shared" si="337"/>
        <v>0</v>
      </c>
    </row>
    <row r="542" spans="1:21" ht="18.75" hidden="1" x14ac:dyDescent="0.25">
      <c r="A542" s="129"/>
      <c r="B542" s="200"/>
      <c r="C542" s="200"/>
      <c r="D542" s="200"/>
      <c r="E542" s="271" t="s">
        <v>21</v>
      </c>
      <c r="F542" s="200"/>
      <c r="G542" s="43"/>
      <c r="H542" s="138" t="s">
        <v>14</v>
      </c>
      <c r="I542" s="136"/>
      <c r="J542" s="136"/>
      <c r="K542" s="137"/>
      <c r="L542" s="588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t="shared" ca="1" si="333"/>
        <v>0</v>
      </c>
      <c r="P542" s="47">
        <f t="shared" ca="1" si="334"/>
        <v>0</v>
      </c>
      <c r="Q542" s="47">
        <v>0</v>
      </c>
      <c r="R542" s="47">
        <v>0</v>
      </c>
      <c r="S542" s="47">
        <v>0</v>
      </c>
      <c r="T542" s="47">
        <f t="shared" si="336"/>
        <v>0</v>
      </c>
      <c r="U542" s="47">
        <f t="shared" si="337"/>
        <v>0</v>
      </c>
    </row>
    <row r="543" spans="1:21" ht="19.5" hidden="1" x14ac:dyDescent="0.3">
      <c r="A543" s="139"/>
      <c r="B543" s="140"/>
      <c r="C543" s="409" t="s">
        <v>18</v>
      </c>
      <c r="D543" s="618" t="s">
        <v>38</v>
      </c>
      <c r="E543" s="142"/>
      <c r="F543" s="142"/>
      <c r="G543" s="143"/>
      <c r="H543" s="144"/>
      <c r="I543" s="136"/>
      <c r="J543" s="45"/>
      <c r="K543" s="46"/>
      <c r="L543" s="591"/>
      <c r="M543" s="46"/>
      <c r="N543" s="46"/>
      <c r="O543" s="137"/>
      <c r="P543" s="137"/>
      <c r="Q543" s="46"/>
      <c r="R543" s="46"/>
      <c r="S543" s="46"/>
      <c r="T543" s="137"/>
      <c r="U543" s="137"/>
    </row>
    <row r="544" spans="1:21" ht="12.75" hidden="1" x14ac:dyDescent="0.2">
      <c r="A544" s="250"/>
      <c r="B544" s="252"/>
      <c r="C544" s="251"/>
      <c r="D544" s="252"/>
      <c r="E544" s="251"/>
      <c r="F544" s="252"/>
      <c r="G544" s="253"/>
      <c r="H544" s="253"/>
      <c r="I544" s="255"/>
      <c r="J544" s="255"/>
      <c r="K544" s="256"/>
      <c r="L544" s="743"/>
      <c r="M544" s="256"/>
      <c r="N544" s="256"/>
      <c r="O544" s="256"/>
      <c r="P544" s="256"/>
      <c r="Q544" s="256"/>
      <c r="R544" s="256"/>
      <c r="S544" s="256"/>
      <c r="T544" s="256"/>
      <c r="U544" s="256"/>
    </row>
    <row r="545" spans="1:21" ht="12.75" hidden="1" x14ac:dyDescent="0.2">
      <c r="A545" s="250"/>
      <c r="B545" s="252"/>
      <c r="C545" s="251"/>
      <c r="D545" s="252"/>
      <c r="E545" s="251"/>
      <c r="F545" s="252"/>
      <c r="G545" s="253"/>
      <c r="H545" s="253"/>
      <c r="I545" s="255"/>
      <c r="J545" s="255"/>
      <c r="K545" s="256"/>
      <c r="L545" s="743"/>
      <c r="M545" s="256"/>
      <c r="N545" s="256"/>
      <c r="O545" s="256"/>
      <c r="P545" s="256"/>
      <c r="Q545" s="256"/>
      <c r="R545" s="256"/>
      <c r="S545" s="256"/>
      <c r="T545" s="256"/>
      <c r="U545" s="256"/>
    </row>
    <row r="546" spans="1:21" ht="12.75" hidden="1" x14ac:dyDescent="0.2">
      <c r="A546" s="250"/>
      <c r="B546" s="251"/>
      <c r="C546" s="251"/>
      <c r="D546" s="252"/>
      <c r="E546" s="252"/>
      <c r="F546" s="252"/>
      <c r="G546" s="253"/>
      <c r="H546" s="254"/>
      <c r="I546" s="255"/>
      <c r="J546" s="255"/>
      <c r="K546" s="256"/>
      <c r="L546" s="743"/>
      <c r="M546" s="256"/>
      <c r="N546" s="256"/>
      <c r="O546" s="256"/>
      <c r="P546" s="256"/>
      <c r="Q546" s="256"/>
      <c r="R546" s="256"/>
      <c r="S546" s="256"/>
      <c r="T546" s="256"/>
      <c r="U546" s="256"/>
    </row>
    <row r="547" spans="1:21" ht="12.75" hidden="1" x14ac:dyDescent="0.2">
      <c r="A547" s="250"/>
      <c r="B547" s="251"/>
      <c r="C547" s="251"/>
      <c r="D547" s="252"/>
      <c r="E547" s="252"/>
      <c r="F547" s="252"/>
      <c r="G547" s="253"/>
      <c r="H547" s="254"/>
      <c r="I547" s="255"/>
      <c r="J547" s="255"/>
      <c r="K547" s="256"/>
      <c r="L547" s="743"/>
      <c r="M547" s="256"/>
      <c r="N547" s="256"/>
      <c r="O547" s="256"/>
      <c r="P547" s="256"/>
      <c r="Q547" s="256"/>
      <c r="R547" s="256"/>
      <c r="S547" s="256"/>
      <c r="T547" s="256"/>
      <c r="U547" s="256"/>
    </row>
    <row r="548" spans="1:21" ht="12.75" hidden="1" x14ac:dyDescent="0.2">
      <c r="A548" s="250"/>
      <c r="B548" s="251"/>
      <c r="C548" s="251"/>
      <c r="D548" s="252"/>
      <c r="E548" s="252"/>
      <c r="F548" s="252"/>
      <c r="G548" s="253"/>
      <c r="H548" s="254"/>
      <c r="I548" s="255"/>
      <c r="J548" s="255"/>
      <c r="K548" s="256"/>
      <c r="L548" s="743"/>
      <c r="M548" s="256"/>
      <c r="N548" s="256"/>
      <c r="O548" s="256"/>
      <c r="P548" s="256"/>
      <c r="Q548" s="256"/>
      <c r="R548" s="256"/>
      <c r="S548" s="256"/>
      <c r="T548" s="256"/>
      <c r="U548" s="256"/>
    </row>
    <row r="549" spans="1:21" ht="12.75" hidden="1" x14ac:dyDescent="0.2">
      <c r="A549" s="250"/>
      <c r="B549" s="251"/>
      <c r="C549" s="251"/>
      <c r="D549" s="252"/>
      <c r="E549" s="252"/>
      <c r="F549" s="252"/>
      <c r="G549" s="253"/>
      <c r="H549" s="254"/>
      <c r="I549" s="255"/>
      <c r="J549" s="255"/>
      <c r="K549" s="256"/>
      <c r="L549" s="743"/>
      <c r="M549" s="256"/>
      <c r="N549" s="256"/>
      <c r="O549" s="256"/>
      <c r="P549" s="256"/>
      <c r="Q549" s="256"/>
      <c r="R549" s="256"/>
      <c r="S549" s="256"/>
      <c r="T549" s="256"/>
      <c r="U549" s="256"/>
    </row>
    <row r="550" spans="1:21" ht="12.75" hidden="1" x14ac:dyDescent="0.2">
      <c r="A550" s="250"/>
      <c r="B550" s="251"/>
      <c r="C550" s="251"/>
      <c r="D550" s="252"/>
      <c r="E550" s="252"/>
      <c r="F550" s="252"/>
      <c r="G550" s="253"/>
      <c r="H550" s="254"/>
      <c r="I550" s="255"/>
      <c r="J550" s="255"/>
      <c r="K550" s="256"/>
      <c r="L550" s="743"/>
      <c r="M550" s="256"/>
      <c r="N550" s="256"/>
      <c r="O550" s="256"/>
      <c r="P550" s="256"/>
      <c r="Q550" s="256"/>
      <c r="R550" s="256"/>
      <c r="S550" s="256"/>
      <c r="T550" s="256"/>
      <c r="U550" s="256"/>
    </row>
    <row r="551" spans="1:21" ht="12.75" hidden="1" x14ac:dyDescent="0.2">
      <c r="A551" s="250"/>
      <c r="B551" s="251"/>
      <c r="C551" s="251"/>
      <c r="D551" s="252"/>
      <c r="E551" s="252"/>
      <c r="F551" s="252"/>
      <c r="G551" s="253"/>
      <c r="H551" s="254"/>
      <c r="I551" s="255"/>
      <c r="J551" s="255"/>
      <c r="K551" s="256"/>
      <c r="L551" s="743"/>
      <c r="M551" s="256"/>
      <c r="N551" s="256"/>
      <c r="O551" s="256"/>
      <c r="P551" s="256"/>
      <c r="Q551" s="256"/>
      <c r="R551" s="256"/>
      <c r="S551" s="256"/>
      <c r="T551" s="256"/>
      <c r="U551" s="256"/>
    </row>
    <row r="552" spans="1:21" ht="12.75" hidden="1" x14ac:dyDescent="0.2">
      <c r="A552" s="250"/>
      <c r="B552" s="251"/>
      <c r="C552" s="251"/>
      <c r="D552" s="252"/>
      <c r="E552" s="252"/>
      <c r="F552" s="252"/>
      <c r="G552" s="253"/>
      <c r="H552" s="254"/>
      <c r="I552" s="255"/>
      <c r="J552" s="255"/>
      <c r="K552" s="256"/>
      <c r="L552" s="743"/>
      <c r="M552" s="256"/>
      <c r="N552" s="256"/>
      <c r="O552" s="256"/>
      <c r="P552" s="256"/>
      <c r="Q552" s="256"/>
      <c r="R552" s="256"/>
      <c r="S552" s="256"/>
      <c r="T552" s="256"/>
      <c r="U552" s="256"/>
    </row>
    <row r="553" spans="1:21" ht="12.75" hidden="1" x14ac:dyDescent="0.2">
      <c r="A553" s="404"/>
      <c r="B553" s="354"/>
      <c r="C553" s="354"/>
      <c r="D553" s="405"/>
      <c r="E553" s="405"/>
      <c r="F553" s="405"/>
      <c r="G553" s="406"/>
      <c r="H553" s="355"/>
      <c r="I553" s="356"/>
      <c r="J553" s="356"/>
      <c r="K553" s="357"/>
      <c r="L553" s="744"/>
      <c r="M553" s="357"/>
      <c r="N553" s="357"/>
      <c r="O553" s="357"/>
      <c r="P553" s="357"/>
      <c r="Q553" s="357"/>
      <c r="R553" s="357"/>
      <c r="S553" s="357"/>
      <c r="T553" s="357"/>
      <c r="U553" s="357"/>
    </row>
    <row r="554" spans="1:21" ht="19.5" hidden="1" x14ac:dyDescent="0.3">
      <c r="A554" s="393"/>
      <c r="B554" s="394" t="s">
        <v>215</v>
      </c>
      <c r="C554" s="395"/>
      <c r="D554" s="396"/>
      <c r="E554" s="396"/>
      <c r="F554" s="396"/>
      <c r="G554" s="397"/>
      <c r="H554" s="407" t="s">
        <v>61</v>
      </c>
      <c r="I554" s="818">
        <f t="shared" ref="I554:J554" si="344">I566</f>
        <v>0</v>
      </c>
      <c r="J554" s="818">
        <f t="shared" si="344"/>
        <v>0</v>
      </c>
      <c r="K554" s="400">
        <f>IF(I554&gt;0,J554*100/I554,0)</f>
        <v>0</v>
      </c>
      <c r="L554" s="792"/>
      <c r="M554" s="401"/>
      <c r="N554" s="401"/>
      <c r="O554" s="401"/>
      <c r="P554" s="401"/>
      <c r="Q554" s="401"/>
      <c r="R554" s="401"/>
      <c r="S554" s="401"/>
      <c r="T554" s="401"/>
      <c r="U554" s="401"/>
    </row>
    <row r="555" spans="1:21" ht="19.5" hidden="1" x14ac:dyDescent="0.3">
      <c r="A555" s="129"/>
      <c r="B555" s="200"/>
      <c r="C555" s="199" t="s">
        <v>18</v>
      </c>
      <c r="D555" s="616" t="s">
        <v>19</v>
      </c>
      <c r="E555" s="200"/>
      <c r="F555" s="200"/>
      <c r="G555" s="43"/>
      <c r="H555" s="132" t="s">
        <v>14</v>
      </c>
      <c r="I555" s="45"/>
      <c r="J555" s="45"/>
      <c r="K555" s="46"/>
      <c r="L555" s="617">
        <f t="shared" ref="L555:N555" ca="1" si="345">L556+L557</f>
        <v>0</v>
      </c>
      <c r="M555" s="133">
        <f t="shared" ca="1" si="345"/>
        <v>0</v>
      </c>
      <c r="N555" s="133">
        <f t="shared" ca="1" si="345"/>
        <v>0</v>
      </c>
      <c r="O555" s="133">
        <f t="shared" ref="O555:O563" ca="1" si="346">IF(L555&gt;0,N555*100/L555,0)</f>
        <v>0</v>
      </c>
      <c r="P555" s="133">
        <f t="shared" ref="P555:P563" ca="1" si="347">IF(M555&gt;0,N555*100/M555,0)</f>
        <v>0</v>
      </c>
      <c r="Q555" s="133">
        <f t="shared" ref="Q555:S555" si="348">Q556+Q557</f>
        <v>0</v>
      </c>
      <c r="R555" s="133">
        <f t="shared" si="348"/>
        <v>0</v>
      </c>
      <c r="S555" s="133">
        <f t="shared" si="348"/>
        <v>0</v>
      </c>
      <c r="T555" s="133">
        <f t="shared" ref="T555:T563" si="349">IF(Q555&gt;0,S555*100/Q555,0)</f>
        <v>0</v>
      </c>
      <c r="U555" s="133">
        <f t="shared" ref="U555:U563" si="350">IF(R555&gt;0,S555*100/R555,0)</f>
        <v>0</v>
      </c>
    </row>
    <row r="556" spans="1:21" ht="18.75" hidden="1" x14ac:dyDescent="0.25">
      <c r="A556" s="129"/>
      <c r="B556" s="160"/>
      <c r="C556" s="200"/>
      <c r="D556" s="200"/>
      <c r="E556" s="158" t="s">
        <v>20</v>
      </c>
      <c r="F556" s="200"/>
      <c r="G556" s="43"/>
      <c r="H556" s="159" t="s">
        <v>14</v>
      </c>
      <c r="I556" s="45"/>
      <c r="J556" s="45"/>
      <c r="K556" s="46"/>
      <c r="L556" s="590">
        <f t="shared" ref="L556:N557" si="351">L559+L562</f>
        <v>0</v>
      </c>
      <c r="M556" s="49">
        <f t="shared" si="351"/>
        <v>0</v>
      </c>
      <c r="N556" s="49">
        <f t="shared" si="351"/>
        <v>0</v>
      </c>
      <c r="O556" s="49">
        <f t="shared" si="346"/>
        <v>0</v>
      </c>
      <c r="P556" s="49">
        <f t="shared" si="347"/>
        <v>0</v>
      </c>
      <c r="Q556" s="49">
        <f t="shared" ref="Q556:S557" si="352">Q559+Q562</f>
        <v>0</v>
      </c>
      <c r="R556" s="49">
        <f t="shared" si="352"/>
        <v>0</v>
      </c>
      <c r="S556" s="49">
        <f t="shared" si="352"/>
        <v>0</v>
      </c>
      <c r="T556" s="49">
        <f t="shared" si="349"/>
        <v>0</v>
      </c>
      <c r="U556" s="49">
        <f t="shared" si="350"/>
        <v>0</v>
      </c>
    </row>
    <row r="557" spans="1:21" ht="18.75" hidden="1" x14ac:dyDescent="0.25">
      <c r="A557" s="129"/>
      <c r="B557" s="200"/>
      <c r="C557" s="160"/>
      <c r="D557" s="200"/>
      <c r="E557" s="496" t="s">
        <v>21</v>
      </c>
      <c r="F557" s="200"/>
      <c r="G557" s="43"/>
      <c r="H557" s="134" t="s">
        <v>14</v>
      </c>
      <c r="I557" s="45"/>
      <c r="J557" s="45"/>
      <c r="K557" s="46"/>
      <c r="L557" s="588">
        <f t="shared" ca="1" si="351"/>
        <v>0</v>
      </c>
      <c r="M557" s="47">
        <f t="shared" ca="1" si="351"/>
        <v>0</v>
      </c>
      <c r="N557" s="47">
        <f t="shared" ca="1" si="351"/>
        <v>0</v>
      </c>
      <c r="O557" s="47">
        <f t="shared" ca="1" si="346"/>
        <v>0</v>
      </c>
      <c r="P557" s="47">
        <f t="shared" ca="1" si="347"/>
        <v>0</v>
      </c>
      <c r="Q557" s="47">
        <f t="shared" si="352"/>
        <v>0</v>
      </c>
      <c r="R557" s="47">
        <f t="shared" si="352"/>
        <v>0</v>
      </c>
      <c r="S557" s="47">
        <f t="shared" si="352"/>
        <v>0</v>
      </c>
      <c r="T557" s="47">
        <f t="shared" si="349"/>
        <v>0</v>
      </c>
      <c r="U557" s="47">
        <f t="shared" si="350"/>
        <v>0</v>
      </c>
    </row>
    <row r="558" spans="1:21" ht="18.75" hidden="1" x14ac:dyDescent="0.25">
      <c r="A558" s="129"/>
      <c r="B558" s="200"/>
      <c r="C558" s="160"/>
      <c r="D558" s="42" t="s">
        <v>22</v>
      </c>
      <c r="E558" s="160"/>
      <c r="F558" s="200"/>
      <c r="G558" s="43"/>
      <c r="H558" s="135" t="s">
        <v>14</v>
      </c>
      <c r="I558" s="136"/>
      <c r="J558" s="136"/>
      <c r="K558" s="137"/>
      <c r="L558" s="588">
        <f t="shared" ref="L558:N558" ca="1" si="353">L559+L560</f>
        <v>0</v>
      </c>
      <c r="M558" s="47">
        <f t="shared" ca="1" si="353"/>
        <v>0</v>
      </c>
      <c r="N558" s="47">
        <f t="shared" ca="1" si="353"/>
        <v>0</v>
      </c>
      <c r="O558" s="47">
        <f t="shared" ca="1" si="346"/>
        <v>0</v>
      </c>
      <c r="P558" s="47">
        <f t="shared" ca="1" si="347"/>
        <v>0</v>
      </c>
      <c r="Q558" s="47">
        <f t="shared" ref="Q558:S558" si="354">Q559+Q560</f>
        <v>0</v>
      </c>
      <c r="R558" s="47">
        <f t="shared" si="354"/>
        <v>0</v>
      </c>
      <c r="S558" s="47">
        <f t="shared" si="354"/>
        <v>0</v>
      </c>
      <c r="T558" s="47">
        <f t="shared" si="349"/>
        <v>0</v>
      </c>
      <c r="U558" s="47">
        <f t="shared" si="350"/>
        <v>0</v>
      </c>
    </row>
    <row r="559" spans="1:21" ht="18.75" hidden="1" x14ac:dyDescent="0.25">
      <c r="A559" s="129"/>
      <c r="B559" s="200"/>
      <c r="C559" s="200"/>
      <c r="D559" s="200"/>
      <c r="E559" s="158" t="s">
        <v>36</v>
      </c>
      <c r="F559" s="200"/>
      <c r="G559" s="43"/>
      <c r="H559" s="161" t="s">
        <v>14</v>
      </c>
      <c r="I559" s="136"/>
      <c r="J559" s="136"/>
      <c r="K559" s="137"/>
      <c r="L559" s="590">
        <v>0</v>
      </c>
      <c r="M559" s="49">
        <v>0</v>
      </c>
      <c r="N559" s="49">
        <v>0</v>
      </c>
      <c r="O559" s="49">
        <f t="shared" si="346"/>
        <v>0</v>
      </c>
      <c r="P559" s="49">
        <f t="shared" si="347"/>
        <v>0</v>
      </c>
      <c r="Q559" s="49">
        <v>0</v>
      </c>
      <c r="R559" s="49">
        <v>0</v>
      </c>
      <c r="S559" s="49">
        <v>0</v>
      </c>
      <c r="T559" s="49">
        <f t="shared" si="349"/>
        <v>0</v>
      </c>
      <c r="U559" s="49">
        <f t="shared" si="350"/>
        <v>0</v>
      </c>
    </row>
    <row r="560" spans="1:21" ht="18.75" hidden="1" x14ac:dyDescent="0.25">
      <c r="A560" s="129"/>
      <c r="B560" s="200"/>
      <c r="C560" s="200"/>
      <c r="D560" s="200"/>
      <c r="E560" s="271" t="s">
        <v>37</v>
      </c>
      <c r="F560" s="200"/>
      <c r="G560" s="43"/>
      <c r="H560" s="135" t="s">
        <v>14</v>
      </c>
      <c r="I560" s="136"/>
      <c r="J560" s="136"/>
      <c r="K560" s="137"/>
      <c r="L560" s="588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t="shared" ca="1" si="346"/>
        <v>0</v>
      </c>
      <c r="P560" s="47">
        <f t="shared" ca="1" si="347"/>
        <v>0</v>
      </c>
      <c r="Q560" s="47">
        <v>0</v>
      </c>
      <c r="R560" s="47">
        <v>0</v>
      </c>
      <c r="S560" s="47">
        <v>0</v>
      </c>
      <c r="T560" s="47">
        <f t="shared" si="349"/>
        <v>0</v>
      </c>
      <c r="U560" s="47">
        <f t="shared" si="350"/>
        <v>0</v>
      </c>
    </row>
    <row r="561" spans="1:21" ht="18.75" hidden="1" x14ac:dyDescent="0.25">
      <c r="A561" s="129"/>
      <c r="B561" s="200"/>
      <c r="C561" s="200"/>
      <c r="D561" s="42" t="s">
        <v>23</v>
      </c>
      <c r="E561" s="200"/>
      <c r="F561" s="200"/>
      <c r="G561" s="43"/>
      <c r="H561" s="138" t="s">
        <v>14</v>
      </c>
      <c r="I561" s="136"/>
      <c r="J561" s="136"/>
      <c r="K561" s="137"/>
      <c r="L561" s="588">
        <f t="shared" ref="L561:N561" ca="1" si="355">L562+L563</f>
        <v>0</v>
      </c>
      <c r="M561" s="47">
        <f t="shared" ca="1" si="355"/>
        <v>0</v>
      </c>
      <c r="N561" s="47">
        <f t="shared" ca="1" si="355"/>
        <v>0</v>
      </c>
      <c r="O561" s="47">
        <f t="shared" ca="1" si="346"/>
        <v>0</v>
      </c>
      <c r="P561" s="47">
        <f t="shared" ca="1" si="347"/>
        <v>0</v>
      </c>
      <c r="Q561" s="47">
        <f t="shared" ref="Q561:S561" si="356">Q562+Q563</f>
        <v>0</v>
      </c>
      <c r="R561" s="47">
        <f t="shared" si="356"/>
        <v>0</v>
      </c>
      <c r="S561" s="47">
        <f t="shared" si="356"/>
        <v>0</v>
      </c>
      <c r="T561" s="47">
        <f t="shared" si="349"/>
        <v>0</v>
      </c>
      <c r="U561" s="47">
        <f t="shared" si="350"/>
        <v>0</v>
      </c>
    </row>
    <row r="562" spans="1:21" ht="18.75" hidden="1" x14ac:dyDescent="0.25">
      <c r="A562" s="129"/>
      <c r="B562" s="200"/>
      <c r="C562" s="200"/>
      <c r="D562" s="200"/>
      <c r="E562" s="158" t="s">
        <v>20</v>
      </c>
      <c r="F562" s="200"/>
      <c r="G562" s="43"/>
      <c r="H562" s="161" t="s">
        <v>14</v>
      </c>
      <c r="I562" s="136"/>
      <c r="J562" s="136"/>
      <c r="K562" s="137"/>
      <c r="L562" s="590">
        <v>0</v>
      </c>
      <c r="M562" s="49">
        <v>0</v>
      </c>
      <c r="N562" s="49">
        <v>0</v>
      </c>
      <c r="O562" s="49">
        <f t="shared" si="346"/>
        <v>0</v>
      </c>
      <c r="P562" s="49">
        <f t="shared" si="347"/>
        <v>0</v>
      </c>
      <c r="Q562" s="49">
        <v>0</v>
      </c>
      <c r="R562" s="49">
        <v>0</v>
      </c>
      <c r="S562" s="49">
        <v>0</v>
      </c>
      <c r="T562" s="49">
        <f t="shared" si="349"/>
        <v>0</v>
      </c>
      <c r="U562" s="49">
        <f t="shared" si="350"/>
        <v>0</v>
      </c>
    </row>
    <row r="563" spans="1:21" ht="18.75" hidden="1" x14ac:dyDescent="0.25">
      <c r="A563" s="129"/>
      <c r="B563" s="200"/>
      <c r="C563" s="200"/>
      <c r="D563" s="200"/>
      <c r="E563" s="271" t="s">
        <v>21</v>
      </c>
      <c r="F563" s="200"/>
      <c r="G563" s="43"/>
      <c r="H563" s="138" t="s">
        <v>14</v>
      </c>
      <c r="I563" s="136"/>
      <c r="J563" s="136"/>
      <c r="K563" s="137"/>
      <c r="L563" s="588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t="shared" ca="1" si="346"/>
        <v>0</v>
      </c>
      <c r="P563" s="47">
        <f t="shared" ca="1" si="347"/>
        <v>0</v>
      </c>
      <c r="Q563" s="47">
        <v>0</v>
      </c>
      <c r="R563" s="47">
        <v>0</v>
      </c>
      <c r="S563" s="47">
        <v>0</v>
      </c>
      <c r="T563" s="47">
        <f t="shared" si="349"/>
        <v>0</v>
      </c>
      <c r="U563" s="47">
        <f t="shared" si="350"/>
        <v>0</v>
      </c>
    </row>
    <row r="564" spans="1:21" ht="19.5" hidden="1" x14ac:dyDescent="0.3">
      <c r="A564" s="139"/>
      <c r="B564" s="140"/>
      <c r="C564" s="409" t="s">
        <v>18</v>
      </c>
      <c r="D564" s="618" t="s">
        <v>38</v>
      </c>
      <c r="E564" s="142"/>
      <c r="F564" s="142"/>
      <c r="G564" s="143"/>
      <c r="H564" s="144"/>
      <c r="I564" s="136"/>
      <c r="J564" s="45"/>
      <c r="K564" s="46"/>
      <c r="L564" s="591"/>
      <c r="M564" s="46"/>
      <c r="N564" s="46"/>
      <c r="O564" s="137"/>
      <c r="P564" s="137"/>
      <c r="Q564" s="46"/>
      <c r="R564" s="46"/>
      <c r="S564" s="46"/>
      <c r="T564" s="137"/>
      <c r="U564" s="137"/>
    </row>
    <row r="565" spans="1:21" ht="12.75" hidden="1" x14ac:dyDescent="0.2">
      <c r="A565" s="250"/>
      <c r="B565" s="252"/>
      <c r="C565" s="251"/>
      <c r="D565" s="252"/>
      <c r="E565" s="251"/>
      <c r="F565" s="252"/>
      <c r="G565" s="253"/>
      <c r="H565" s="253"/>
      <c r="I565" s="255"/>
      <c r="J565" s="255"/>
      <c r="K565" s="256"/>
      <c r="L565" s="743"/>
      <c r="M565" s="256"/>
      <c r="N565" s="256"/>
      <c r="O565" s="256"/>
      <c r="P565" s="256"/>
      <c r="Q565" s="256"/>
      <c r="R565" s="256"/>
      <c r="S565" s="256"/>
      <c r="T565" s="256"/>
      <c r="U565" s="256"/>
    </row>
    <row r="566" spans="1:21" ht="12.75" hidden="1" x14ac:dyDescent="0.2">
      <c r="A566" s="250"/>
      <c r="B566" s="252"/>
      <c r="C566" s="251"/>
      <c r="D566" s="252"/>
      <c r="E566" s="251"/>
      <c r="F566" s="252"/>
      <c r="G566" s="253"/>
      <c r="H566" s="253"/>
      <c r="I566" s="255"/>
      <c r="J566" s="255"/>
      <c r="K566" s="256"/>
      <c r="L566" s="743"/>
      <c r="M566" s="256"/>
      <c r="N566" s="256"/>
      <c r="O566" s="256"/>
      <c r="P566" s="256"/>
      <c r="Q566" s="256"/>
      <c r="R566" s="256"/>
      <c r="S566" s="256"/>
      <c r="T566" s="256"/>
      <c r="U566" s="256"/>
    </row>
    <row r="567" spans="1:21" ht="12.75" hidden="1" x14ac:dyDescent="0.2">
      <c r="A567" s="250"/>
      <c r="B567" s="251"/>
      <c r="C567" s="251"/>
      <c r="D567" s="252"/>
      <c r="E567" s="252"/>
      <c r="F567" s="252"/>
      <c r="G567" s="253"/>
      <c r="H567" s="254"/>
      <c r="I567" s="255"/>
      <c r="J567" s="255"/>
      <c r="K567" s="256"/>
      <c r="L567" s="743"/>
      <c r="M567" s="256"/>
      <c r="N567" s="256"/>
      <c r="O567" s="256"/>
      <c r="P567" s="256"/>
      <c r="Q567" s="256"/>
      <c r="R567" s="256"/>
      <c r="S567" s="256"/>
      <c r="T567" s="256"/>
      <c r="U567" s="256"/>
    </row>
    <row r="568" spans="1:21" ht="12.75" hidden="1" x14ac:dyDescent="0.2">
      <c r="A568" s="250"/>
      <c r="B568" s="251"/>
      <c r="C568" s="251"/>
      <c r="D568" s="252"/>
      <c r="E568" s="252"/>
      <c r="F568" s="252"/>
      <c r="G568" s="253"/>
      <c r="H568" s="254"/>
      <c r="I568" s="255"/>
      <c r="J568" s="255"/>
      <c r="K568" s="256"/>
      <c r="L568" s="743"/>
      <c r="M568" s="256"/>
      <c r="N568" s="256"/>
      <c r="O568" s="256"/>
      <c r="P568" s="256"/>
      <c r="Q568" s="256"/>
      <c r="R568" s="256"/>
      <c r="S568" s="256"/>
      <c r="T568" s="256"/>
      <c r="U568" s="256"/>
    </row>
    <row r="569" spans="1:21" ht="12.75" hidden="1" x14ac:dyDescent="0.2">
      <c r="A569" s="250"/>
      <c r="B569" s="251"/>
      <c r="C569" s="251"/>
      <c r="D569" s="252"/>
      <c r="E569" s="252"/>
      <c r="F569" s="252"/>
      <c r="G569" s="253"/>
      <c r="H569" s="254"/>
      <c r="I569" s="255"/>
      <c r="J569" s="255"/>
      <c r="K569" s="256"/>
      <c r="L569" s="743"/>
      <c r="M569" s="256"/>
      <c r="N569" s="256"/>
      <c r="O569" s="256"/>
      <c r="P569" s="256"/>
      <c r="Q569" s="256"/>
      <c r="R569" s="256"/>
      <c r="S569" s="256"/>
      <c r="T569" s="256"/>
      <c r="U569" s="256"/>
    </row>
    <row r="570" spans="1:21" ht="12.75" hidden="1" x14ac:dyDescent="0.2">
      <c r="A570" s="250"/>
      <c r="B570" s="251"/>
      <c r="C570" s="251"/>
      <c r="D570" s="252"/>
      <c r="E570" s="252"/>
      <c r="F570" s="252"/>
      <c r="G570" s="253"/>
      <c r="H570" s="254"/>
      <c r="I570" s="255"/>
      <c r="J570" s="255"/>
      <c r="K570" s="256"/>
      <c r="L570" s="743"/>
      <c r="M570" s="256"/>
      <c r="N570" s="256"/>
      <c r="O570" s="256"/>
      <c r="P570" s="256"/>
      <c r="Q570" s="256"/>
      <c r="R570" s="256"/>
      <c r="S570" s="256"/>
      <c r="T570" s="256"/>
      <c r="U570" s="256"/>
    </row>
    <row r="571" spans="1:21" ht="12.75" hidden="1" x14ac:dyDescent="0.2">
      <c r="A571" s="250"/>
      <c r="B571" s="251"/>
      <c r="C571" s="251"/>
      <c r="D571" s="252"/>
      <c r="E571" s="252"/>
      <c r="F571" s="252"/>
      <c r="G571" s="253"/>
      <c r="H571" s="254"/>
      <c r="I571" s="255"/>
      <c r="J571" s="255"/>
      <c r="K571" s="256"/>
      <c r="L571" s="743"/>
      <c r="M571" s="256"/>
      <c r="N571" s="256"/>
      <c r="O571" s="256"/>
      <c r="P571" s="256"/>
      <c r="Q571" s="256"/>
      <c r="R571" s="256"/>
      <c r="S571" s="256"/>
      <c r="T571" s="256"/>
      <c r="U571" s="256"/>
    </row>
    <row r="572" spans="1:21" ht="12.75" hidden="1" x14ac:dyDescent="0.2">
      <c r="A572" s="250"/>
      <c r="B572" s="251"/>
      <c r="C572" s="251"/>
      <c r="D572" s="252"/>
      <c r="E572" s="252"/>
      <c r="F572" s="252"/>
      <c r="G572" s="253"/>
      <c r="H572" s="254"/>
      <c r="I572" s="255"/>
      <c r="J572" s="255"/>
      <c r="K572" s="256"/>
      <c r="L572" s="743"/>
      <c r="M572" s="256"/>
      <c r="N572" s="256"/>
      <c r="O572" s="256"/>
      <c r="P572" s="256"/>
      <c r="Q572" s="256"/>
      <c r="R572" s="256"/>
      <c r="S572" s="256"/>
      <c r="T572" s="256"/>
      <c r="U572" s="256"/>
    </row>
    <row r="573" spans="1:21" ht="12.75" hidden="1" x14ac:dyDescent="0.2">
      <c r="A573" s="250"/>
      <c r="B573" s="251"/>
      <c r="C573" s="251"/>
      <c r="D573" s="252"/>
      <c r="E573" s="252"/>
      <c r="F573" s="252"/>
      <c r="G573" s="253"/>
      <c r="H573" s="254"/>
      <c r="I573" s="255"/>
      <c r="J573" s="255"/>
      <c r="K573" s="256"/>
      <c r="L573" s="743"/>
      <c r="M573" s="256"/>
      <c r="N573" s="256"/>
      <c r="O573" s="256"/>
      <c r="P573" s="256"/>
      <c r="Q573" s="256"/>
      <c r="R573" s="256"/>
      <c r="S573" s="256"/>
      <c r="T573" s="256"/>
      <c r="U573" s="256"/>
    </row>
    <row r="574" spans="1:21" ht="12.75" hidden="1" x14ac:dyDescent="0.2">
      <c r="A574" s="404"/>
      <c r="B574" s="354"/>
      <c r="C574" s="354"/>
      <c r="D574" s="405"/>
      <c r="E574" s="405"/>
      <c r="F574" s="405"/>
      <c r="G574" s="406"/>
      <c r="H574" s="355"/>
      <c r="I574" s="356"/>
      <c r="J574" s="356"/>
      <c r="K574" s="357"/>
      <c r="L574" s="744"/>
      <c r="M574" s="357"/>
      <c r="N574" s="357"/>
      <c r="O574" s="357"/>
      <c r="P574" s="357"/>
      <c r="Q574" s="357"/>
      <c r="R574" s="357"/>
      <c r="S574" s="357"/>
      <c r="T574" s="357"/>
      <c r="U574" s="357"/>
    </row>
    <row r="575" spans="1:21" ht="19.5" x14ac:dyDescent="0.3">
      <c r="A575" s="393"/>
      <c r="B575" s="394" t="s">
        <v>217</v>
      </c>
      <c r="C575" s="395"/>
      <c r="D575" s="396"/>
      <c r="E575" s="396"/>
      <c r="F575" s="396"/>
      <c r="G575" s="397"/>
      <c r="H575" s="407" t="s">
        <v>61</v>
      </c>
      <c r="I575" s="408">
        <f t="shared" ref="I575:J575" si="357">I587</f>
        <v>7</v>
      </c>
      <c r="J575" s="408">
        <f t="shared" si="357"/>
        <v>7</v>
      </c>
      <c r="K575" s="400">
        <f>IF(I575&gt;0,J575*100/I575,0)</f>
        <v>100</v>
      </c>
      <c r="L575" s="792"/>
      <c r="M575" s="401"/>
      <c r="N575" s="401"/>
      <c r="O575" s="401"/>
      <c r="P575" s="401"/>
      <c r="Q575" s="401"/>
      <c r="R575" s="401"/>
      <c r="S575" s="401"/>
      <c r="T575" s="401"/>
      <c r="U575" s="401"/>
    </row>
    <row r="576" spans="1:21" ht="19.5" x14ac:dyDescent="0.3">
      <c r="A576" s="129"/>
      <c r="B576" s="200"/>
      <c r="C576" s="409" t="s">
        <v>18</v>
      </c>
      <c r="D576" s="616" t="s">
        <v>19</v>
      </c>
      <c r="E576" s="200"/>
      <c r="F576" s="200"/>
      <c r="G576" s="43"/>
      <c r="H576" s="132" t="s">
        <v>14</v>
      </c>
      <c r="I576" s="45"/>
      <c r="J576" s="45"/>
      <c r="K576" s="46"/>
      <c r="L576" s="617">
        <f t="shared" ref="L576:N576" ca="1" si="358">L577+L578</f>
        <v>394333</v>
      </c>
      <c r="M576" s="133">
        <f t="shared" ca="1" si="358"/>
        <v>394333</v>
      </c>
      <c r="N576" s="133">
        <f t="shared" ca="1" si="358"/>
        <v>365393</v>
      </c>
      <c r="O576" s="133">
        <f t="shared" ref="O576:O584" ca="1" si="359">IF(L576&gt;0,N576*100/L576,0)</f>
        <v>92.661025072717734</v>
      </c>
      <c r="P576" s="133">
        <f t="shared" ref="P576:P584" ca="1" si="360">IF(M576&gt;0,N576*100/M576,0)</f>
        <v>92.661025072717734</v>
      </c>
      <c r="Q576" s="133">
        <f t="shared" ref="Q576:S576" si="361">Q577+Q578</f>
        <v>0</v>
      </c>
      <c r="R576" s="133">
        <f t="shared" si="361"/>
        <v>0</v>
      </c>
      <c r="S576" s="133">
        <f t="shared" si="361"/>
        <v>0</v>
      </c>
      <c r="T576" s="133">
        <f t="shared" ref="T576:T584" si="362">IF(Q576&gt;0,S576*100/Q576,0)</f>
        <v>0</v>
      </c>
      <c r="U576" s="133">
        <f t="shared" ref="U576:U584" si="363">IF(R576&gt;0,S576*100/R576,0)</f>
        <v>0</v>
      </c>
    </row>
    <row r="577" spans="1:21" ht="18.75" hidden="1" x14ac:dyDescent="0.25">
      <c r="A577" s="129"/>
      <c r="B577" s="160"/>
      <c r="C577" s="200"/>
      <c r="D577" s="200"/>
      <c r="E577" s="158" t="s">
        <v>20</v>
      </c>
      <c r="F577" s="200"/>
      <c r="G577" s="43"/>
      <c r="H577" s="159" t="s">
        <v>14</v>
      </c>
      <c r="I577" s="45"/>
      <c r="J577" s="45"/>
      <c r="K577" s="46"/>
      <c r="L577" s="590">
        <f t="shared" ref="L577:N578" si="364">L580+L583</f>
        <v>0</v>
      </c>
      <c r="M577" s="49">
        <f t="shared" si="364"/>
        <v>0</v>
      </c>
      <c r="N577" s="49">
        <f t="shared" si="364"/>
        <v>0</v>
      </c>
      <c r="O577" s="49">
        <f t="shared" si="359"/>
        <v>0</v>
      </c>
      <c r="P577" s="49">
        <f t="shared" si="360"/>
        <v>0</v>
      </c>
      <c r="Q577" s="49">
        <f t="shared" ref="Q577:S578" si="365">Q580+Q583</f>
        <v>0</v>
      </c>
      <c r="R577" s="49">
        <f t="shared" si="365"/>
        <v>0</v>
      </c>
      <c r="S577" s="49">
        <f t="shared" si="365"/>
        <v>0</v>
      </c>
      <c r="T577" s="49">
        <f t="shared" si="362"/>
        <v>0</v>
      </c>
      <c r="U577" s="49">
        <f t="shared" si="363"/>
        <v>0</v>
      </c>
    </row>
    <row r="578" spans="1:21" ht="18.75" hidden="1" x14ac:dyDescent="0.25">
      <c r="A578" s="129"/>
      <c r="B578" s="200"/>
      <c r="C578" s="160"/>
      <c r="D578" s="200"/>
      <c r="E578" s="496" t="s">
        <v>21</v>
      </c>
      <c r="F578" s="200"/>
      <c r="G578" s="43"/>
      <c r="H578" s="134" t="s">
        <v>14</v>
      </c>
      <c r="I578" s="45"/>
      <c r="J578" s="45"/>
      <c r="K578" s="46"/>
      <c r="L578" s="588">
        <f t="shared" ca="1" si="364"/>
        <v>394333</v>
      </c>
      <c r="M578" s="47">
        <f t="shared" ca="1" si="364"/>
        <v>394333</v>
      </c>
      <c r="N578" s="47">
        <f t="shared" ca="1" si="364"/>
        <v>365393</v>
      </c>
      <c r="O578" s="47">
        <f t="shared" ca="1" si="359"/>
        <v>92.661025072717734</v>
      </c>
      <c r="P578" s="47">
        <f t="shared" ca="1" si="360"/>
        <v>92.661025072717734</v>
      </c>
      <c r="Q578" s="47">
        <f t="shared" si="365"/>
        <v>0</v>
      </c>
      <c r="R578" s="47">
        <f t="shared" si="365"/>
        <v>0</v>
      </c>
      <c r="S578" s="47">
        <f t="shared" si="365"/>
        <v>0</v>
      </c>
      <c r="T578" s="47">
        <f t="shared" si="362"/>
        <v>0</v>
      </c>
      <c r="U578" s="47">
        <f t="shared" si="363"/>
        <v>0</v>
      </c>
    </row>
    <row r="579" spans="1:21" ht="18.75" x14ac:dyDescent="0.25">
      <c r="A579" s="129"/>
      <c r="B579" s="200"/>
      <c r="C579" s="160"/>
      <c r="D579" s="42" t="s">
        <v>22</v>
      </c>
      <c r="E579" s="160"/>
      <c r="F579" s="200"/>
      <c r="G579" s="43"/>
      <c r="H579" s="135" t="s">
        <v>14</v>
      </c>
      <c r="I579" s="136"/>
      <c r="J579" s="136"/>
      <c r="K579" s="137"/>
      <c r="L579" s="588">
        <f t="shared" ref="L579:N579" ca="1" si="366">L580+L581</f>
        <v>394333</v>
      </c>
      <c r="M579" s="47">
        <f t="shared" ca="1" si="366"/>
        <v>394333</v>
      </c>
      <c r="N579" s="47">
        <f t="shared" ca="1" si="366"/>
        <v>365393</v>
      </c>
      <c r="O579" s="47">
        <f t="shared" ca="1" si="359"/>
        <v>92.661025072717734</v>
      </c>
      <c r="P579" s="47">
        <f t="shared" ca="1" si="360"/>
        <v>92.661025072717734</v>
      </c>
      <c r="Q579" s="47">
        <f t="shared" ref="Q579:S579" si="367">Q580+Q581</f>
        <v>0</v>
      </c>
      <c r="R579" s="47">
        <f t="shared" si="367"/>
        <v>0</v>
      </c>
      <c r="S579" s="47">
        <f t="shared" si="367"/>
        <v>0</v>
      </c>
      <c r="T579" s="47">
        <f t="shared" si="362"/>
        <v>0</v>
      </c>
      <c r="U579" s="47">
        <f t="shared" si="363"/>
        <v>0</v>
      </c>
    </row>
    <row r="580" spans="1:21" ht="18.75" hidden="1" x14ac:dyDescent="0.25">
      <c r="A580" s="129"/>
      <c r="B580" s="200"/>
      <c r="C580" s="200"/>
      <c r="D580" s="200"/>
      <c r="E580" s="158" t="s">
        <v>36</v>
      </c>
      <c r="F580" s="200"/>
      <c r="G580" s="43"/>
      <c r="H580" s="161" t="s">
        <v>14</v>
      </c>
      <c r="I580" s="136"/>
      <c r="J580" s="136"/>
      <c r="K580" s="137"/>
      <c r="L580" s="590">
        <v>0</v>
      </c>
      <c r="M580" s="49">
        <v>0</v>
      </c>
      <c r="N580" s="49">
        <v>0</v>
      </c>
      <c r="O580" s="49">
        <f t="shared" si="359"/>
        <v>0</v>
      </c>
      <c r="P580" s="49">
        <f t="shared" si="360"/>
        <v>0</v>
      </c>
      <c r="Q580" s="49">
        <v>0</v>
      </c>
      <c r="R580" s="49">
        <v>0</v>
      </c>
      <c r="S580" s="49">
        <v>0</v>
      </c>
      <c r="T580" s="49">
        <f t="shared" si="362"/>
        <v>0</v>
      </c>
      <c r="U580" s="49">
        <f t="shared" si="363"/>
        <v>0</v>
      </c>
    </row>
    <row r="581" spans="1:21" ht="18.75" hidden="1" x14ac:dyDescent="0.25">
      <c r="A581" s="129"/>
      <c r="B581" s="200"/>
      <c r="C581" s="200"/>
      <c r="D581" s="200"/>
      <c r="E581" s="271" t="s">
        <v>37</v>
      </c>
      <c r="F581" s="200"/>
      <c r="G581" s="43"/>
      <c r="H581" s="135" t="s">
        <v>14</v>
      </c>
      <c r="I581" s="136"/>
      <c r="J581" s="136"/>
      <c r="K581" s="137"/>
      <c r="L581" s="588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IFERROR(__xludf.DUMMYFUNCTION("IMPORTRANGE(""https://docs.google.com/spreadsheets/d/1-uDff_7J0KD5mKrp0Vvzr7lt3OU09vwQwhkpOPPYv2Y/edit?usp=sharing"",""งบพรบ!GV82"")"),394333)</f>
        <v>394333</v>
      </c>
      <c r="N581" s="47">
        <f ca="1">IFERROR(__xludf.DUMMYFUNCTION("IMPORTRANGE(""https://docs.google.com/spreadsheets/d/1-uDff_7J0KD5mKrp0Vvzr7lt3OU09vwQwhkpOPPYv2Y/edit?usp=sharing"",""งบพรบ!GX82"")"),365393)</f>
        <v>365393</v>
      </c>
      <c r="O581" s="47">
        <f t="shared" ca="1" si="359"/>
        <v>92.661025072717734</v>
      </c>
      <c r="P581" s="47">
        <f t="shared" ca="1" si="360"/>
        <v>92.661025072717734</v>
      </c>
      <c r="Q581" s="47">
        <v>0</v>
      </c>
      <c r="R581" s="47">
        <v>0</v>
      </c>
      <c r="S581" s="47">
        <v>0</v>
      </c>
      <c r="T581" s="47">
        <f t="shared" si="362"/>
        <v>0</v>
      </c>
      <c r="U581" s="47">
        <f t="shared" si="363"/>
        <v>0</v>
      </c>
    </row>
    <row r="582" spans="1:21" ht="18.75" x14ac:dyDescent="0.25">
      <c r="A582" s="129"/>
      <c r="B582" s="200"/>
      <c r="C582" s="200"/>
      <c r="D582" s="42" t="s">
        <v>23</v>
      </c>
      <c r="E582" s="200"/>
      <c r="F582" s="200"/>
      <c r="G582" s="43"/>
      <c r="H582" s="138" t="s">
        <v>14</v>
      </c>
      <c r="I582" s="136"/>
      <c r="J582" s="136"/>
      <c r="K582" s="137"/>
      <c r="L582" s="588">
        <f t="shared" ref="L582:N582" ca="1" si="368">L583+L584</f>
        <v>0</v>
      </c>
      <c r="M582" s="47">
        <f t="shared" ca="1" si="368"/>
        <v>0</v>
      </c>
      <c r="N582" s="47">
        <f t="shared" ca="1" si="368"/>
        <v>0</v>
      </c>
      <c r="O582" s="47">
        <f t="shared" ca="1" si="359"/>
        <v>0</v>
      </c>
      <c r="P582" s="47">
        <f t="shared" ca="1" si="360"/>
        <v>0</v>
      </c>
      <c r="Q582" s="47">
        <f t="shared" ref="Q582:S582" si="369">Q583+Q584</f>
        <v>0</v>
      </c>
      <c r="R582" s="47">
        <f t="shared" si="369"/>
        <v>0</v>
      </c>
      <c r="S582" s="47">
        <f t="shared" si="369"/>
        <v>0</v>
      </c>
      <c r="T582" s="47">
        <f t="shared" si="362"/>
        <v>0</v>
      </c>
      <c r="U582" s="47">
        <f t="shared" si="363"/>
        <v>0</v>
      </c>
    </row>
    <row r="583" spans="1:21" ht="18.75" hidden="1" x14ac:dyDescent="0.25">
      <c r="A583" s="129"/>
      <c r="B583" s="200"/>
      <c r="C583" s="200"/>
      <c r="D583" s="200"/>
      <c r="E583" s="158" t="s">
        <v>20</v>
      </c>
      <c r="F583" s="200"/>
      <c r="G583" s="43"/>
      <c r="H583" s="161" t="s">
        <v>14</v>
      </c>
      <c r="I583" s="136"/>
      <c r="J583" s="136"/>
      <c r="K583" s="137"/>
      <c r="L583" s="590">
        <v>0</v>
      </c>
      <c r="M583" s="49">
        <v>0</v>
      </c>
      <c r="N583" s="49">
        <v>0</v>
      </c>
      <c r="O583" s="49">
        <f t="shared" si="359"/>
        <v>0</v>
      </c>
      <c r="P583" s="49">
        <f t="shared" si="360"/>
        <v>0</v>
      </c>
      <c r="Q583" s="49">
        <v>0</v>
      </c>
      <c r="R583" s="49">
        <v>0</v>
      </c>
      <c r="S583" s="49">
        <v>0</v>
      </c>
      <c r="T583" s="49">
        <f t="shared" si="362"/>
        <v>0</v>
      </c>
      <c r="U583" s="49">
        <f t="shared" si="363"/>
        <v>0</v>
      </c>
    </row>
    <row r="584" spans="1:21" ht="18.75" hidden="1" x14ac:dyDescent="0.25">
      <c r="A584" s="129"/>
      <c r="B584" s="200"/>
      <c r="C584" s="200"/>
      <c r="D584" s="200"/>
      <c r="E584" s="271" t="s">
        <v>21</v>
      </c>
      <c r="F584" s="200"/>
      <c r="G584" s="43"/>
      <c r="H584" s="138" t="s">
        <v>14</v>
      </c>
      <c r="I584" s="136"/>
      <c r="J584" s="136"/>
      <c r="K584" s="137"/>
      <c r="L584" s="588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t="shared" ca="1" si="359"/>
        <v>0</v>
      </c>
      <c r="P584" s="47">
        <f t="shared" ca="1" si="360"/>
        <v>0</v>
      </c>
      <c r="Q584" s="47">
        <v>0</v>
      </c>
      <c r="R584" s="47">
        <v>0</v>
      </c>
      <c r="S584" s="47">
        <v>0</v>
      </c>
      <c r="T584" s="47">
        <f t="shared" si="362"/>
        <v>0</v>
      </c>
      <c r="U584" s="47">
        <f t="shared" si="363"/>
        <v>0</v>
      </c>
    </row>
    <row r="585" spans="1:21" ht="19.5" x14ac:dyDescent="0.3">
      <c r="A585" s="139"/>
      <c r="B585" s="140"/>
      <c r="C585" s="409" t="s">
        <v>18</v>
      </c>
      <c r="D585" s="618" t="s">
        <v>38</v>
      </c>
      <c r="E585" s="142"/>
      <c r="F585" s="142"/>
      <c r="G585" s="143"/>
      <c r="H585" s="144"/>
      <c r="I585" s="136"/>
      <c r="J585" s="45"/>
      <c r="K585" s="46"/>
      <c r="L585" s="591"/>
      <c r="M585" s="46"/>
      <c r="N585" s="46"/>
      <c r="O585" s="137"/>
      <c r="P585" s="137"/>
      <c r="Q585" s="46"/>
      <c r="R585" s="46"/>
      <c r="S585" s="46"/>
      <c r="T585" s="137"/>
      <c r="U585" s="137"/>
    </row>
    <row r="586" spans="1:21" ht="18.75" x14ac:dyDescent="0.25">
      <c r="A586" s="331"/>
      <c r="B586" s="332"/>
      <c r="C586" s="333"/>
      <c r="D586" s="414" t="s">
        <v>218</v>
      </c>
      <c r="E586" s="333"/>
      <c r="F586" s="332"/>
      <c r="G586" s="335"/>
      <c r="H586" s="415" t="s">
        <v>79</v>
      </c>
      <c r="I586" s="412">
        <v>4</v>
      </c>
      <c r="J586" s="178">
        <v>4</v>
      </c>
      <c r="K586" s="179">
        <f t="shared" ref="K586:K587" si="370">IF(I586&gt;0,J586*100/I586,0)</f>
        <v>100</v>
      </c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</row>
    <row r="587" spans="1:21" ht="18.75" x14ac:dyDescent="0.25">
      <c r="A587" s="225"/>
      <c r="B587" s="200"/>
      <c r="C587" s="160"/>
      <c r="D587" s="271" t="s">
        <v>219</v>
      </c>
      <c r="E587" s="160"/>
      <c r="F587" s="200"/>
      <c r="G587" s="43"/>
      <c r="H587" s="44" t="s">
        <v>61</v>
      </c>
      <c r="I587" s="372">
        <v>7</v>
      </c>
      <c r="J587" s="169">
        <v>7</v>
      </c>
      <c r="K587" s="47">
        <f t="shared" si="370"/>
        <v>100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50"/>
      <c r="B588" s="251"/>
      <c r="C588" s="251"/>
      <c r="D588" s="252"/>
      <c r="E588" s="252"/>
      <c r="F588" s="252"/>
      <c r="G588" s="253"/>
      <c r="H588" s="254"/>
      <c r="I588" s="255"/>
      <c r="J588" s="255"/>
      <c r="K588" s="256"/>
      <c r="L588" s="743"/>
      <c r="M588" s="256"/>
      <c r="N588" s="256"/>
      <c r="O588" s="256"/>
      <c r="P588" s="256"/>
      <c r="Q588" s="256"/>
      <c r="R588" s="256"/>
      <c r="S588" s="256"/>
      <c r="T588" s="256"/>
      <c r="U588" s="256"/>
    </row>
    <row r="589" spans="1:21" ht="12.75" hidden="1" x14ac:dyDescent="0.2">
      <c r="A589" s="250"/>
      <c r="B589" s="251"/>
      <c r="C589" s="251"/>
      <c r="D589" s="252"/>
      <c r="E589" s="252"/>
      <c r="F589" s="252"/>
      <c r="G589" s="253"/>
      <c r="H589" s="254"/>
      <c r="I589" s="255"/>
      <c r="J589" s="255"/>
      <c r="K589" s="256"/>
      <c r="L589" s="743"/>
      <c r="M589" s="256"/>
      <c r="N589" s="256"/>
      <c r="O589" s="256"/>
      <c r="P589" s="256"/>
      <c r="Q589" s="256"/>
      <c r="R589" s="256"/>
      <c r="S589" s="256"/>
      <c r="T589" s="256"/>
      <c r="U589" s="256"/>
    </row>
    <row r="590" spans="1:21" ht="12.75" hidden="1" x14ac:dyDescent="0.2">
      <c r="A590" s="250"/>
      <c r="B590" s="251"/>
      <c r="C590" s="251"/>
      <c r="D590" s="252"/>
      <c r="E590" s="252"/>
      <c r="F590" s="252"/>
      <c r="G590" s="253"/>
      <c r="H590" s="254"/>
      <c r="I590" s="255"/>
      <c r="J590" s="255"/>
      <c r="K590" s="256"/>
      <c r="L590" s="743"/>
      <c r="M590" s="256"/>
      <c r="N590" s="256"/>
      <c r="O590" s="256"/>
      <c r="P590" s="256"/>
      <c r="Q590" s="256"/>
      <c r="R590" s="256"/>
      <c r="S590" s="256"/>
      <c r="T590" s="256"/>
      <c r="U590" s="256"/>
    </row>
    <row r="591" spans="1:21" ht="12.75" hidden="1" x14ac:dyDescent="0.2">
      <c r="A591" s="250"/>
      <c r="B591" s="251"/>
      <c r="C591" s="251"/>
      <c r="D591" s="252"/>
      <c r="E591" s="252"/>
      <c r="F591" s="252"/>
      <c r="G591" s="253"/>
      <c r="H591" s="254"/>
      <c r="I591" s="255"/>
      <c r="J591" s="255"/>
      <c r="K591" s="256"/>
      <c r="L591" s="743"/>
      <c r="M591" s="256"/>
      <c r="N591" s="256"/>
      <c r="O591" s="256"/>
      <c r="P591" s="256"/>
      <c r="Q591" s="256"/>
      <c r="R591" s="256"/>
      <c r="S591" s="256"/>
      <c r="T591" s="256"/>
      <c r="U591" s="256"/>
    </row>
    <row r="592" spans="1:21" ht="12.75" hidden="1" x14ac:dyDescent="0.2">
      <c r="A592" s="250"/>
      <c r="B592" s="251"/>
      <c r="C592" s="251"/>
      <c r="D592" s="252"/>
      <c r="E592" s="252"/>
      <c r="F592" s="252"/>
      <c r="G592" s="253"/>
      <c r="H592" s="254"/>
      <c r="I592" s="255"/>
      <c r="J592" s="255"/>
      <c r="K592" s="256"/>
      <c r="L592" s="743"/>
      <c r="M592" s="256"/>
      <c r="N592" s="256"/>
      <c r="O592" s="256"/>
      <c r="P592" s="256"/>
      <c r="Q592" s="256"/>
      <c r="R592" s="256"/>
      <c r="S592" s="256"/>
      <c r="T592" s="256"/>
      <c r="U592" s="256"/>
    </row>
    <row r="593" spans="1:21" ht="12.75" hidden="1" x14ac:dyDescent="0.2">
      <c r="A593" s="250"/>
      <c r="B593" s="251"/>
      <c r="C593" s="251"/>
      <c r="D593" s="252"/>
      <c r="E593" s="252"/>
      <c r="F593" s="252"/>
      <c r="G593" s="253"/>
      <c r="H593" s="254"/>
      <c r="I593" s="255"/>
      <c r="J593" s="255"/>
      <c r="K593" s="256"/>
      <c r="L593" s="743"/>
      <c r="M593" s="256"/>
      <c r="N593" s="256"/>
      <c r="O593" s="256"/>
      <c r="P593" s="256"/>
      <c r="Q593" s="256"/>
      <c r="R593" s="256"/>
      <c r="S593" s="256"/>
      <c r="T593" s="256"/>
      <c r="U593" s="256"/>
    </row>
    <row r="594" spans="1:21" ht="12.75" hidden="1" x14ac:dyDescent="0.2">
      <c r="A594" s="250"/>
      <c r="B594" s="251"/>
      <c r="C594" s="251"/>
      <c r="D594" s="252"/>
      <c r="E594" s="252"/>
      <c r="F594" s="252"/>
      <c r="G594" s="253"/>
      <c r="H594" s="254"/>
      <c r="I594" s="255"/>
      <c r="J594" s="255"/>
      <c r="K594" s="256"/>
      <c r="L594" s="743"/>
      <c r="M594" s="256"/>
      <c r="N594" s="256"/>
      <c r="O594" s="256"/>
      <c r="P594" s="256"/>
      <c r="Q594" s="256"/>
      <c r="R594" s="256"/>
      <c r="S594" s="256"/>
      <c r="T594" s="256"/>
      <c r="U594" s="256"/>
    </row>
    <row r="595" spans="1:21" ht="12.75" hidden="1" x14ac:dyDescent="0.2">
      <c r="A595" s="404"/>
      <c r="B595" s="354"/>
      <c r="C595" s="354"/>
      <c r="D595" s="405"/>
      <c r="E595" s="405"/>
      <c r="F595" s="405"/>
      <c r="G595" s="406"/>
      <c r="H595" s="355"/>
      <c r="I595" s="356"/>
      <c r="J595" s="356"/>
      <c r="K595" s="357"/>
      <c r="L595" s="744"/>
      <c r="M595" s="357"/>
      <c r="N595" s="357"/>
      <c r="O595" s="357"/>
      <c r="P595" s="357"/>
      <c r="Q595" s="357"/>
      <c r="R595" s="357"/>
      <c r="S595" s="357"/>
      <c r="T595" s="357"/>
      <c r="U595" s="357"/>
    </row>
    <row r="596" spans="1:21" ht="19.5" hidden="1" x14ac:dyDescent="0.3">
      <c r="A596" s="819" t="s">
        <v>220</v>
      </c>
      <c r="B596" s="119"/>
      <c r="C596" s="182"/>
      <c r="D596" s="119"/>
      <c r="E596" s="119"/>
      <c r="F596" s="119"/>
      <c r="G596" s="119"/>
      <c r="H596" s="120"/>
      <c r="I596" s="183"/>
      <c r="J596" s="183"/>
      <c r="K596" s="184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820" t="s">
        <v>221</v>
      </c>
      <c r="C597" s="186"/>
      <c r="D597" s="126"/>
      <c r="E597" s="28"/>
      <c r="F597" s="28"/>
      <c r="G597" s="28"/>
      <c r="H597" s="821" t="s">
        <v>99</v>
      </c>
      <c r="I597" s="196"/>
      <c r="J597" s="33"/>
      <c r="K597" s="34"/>
      <c r="L597" s="615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822"/>
      <c r="B598" s="823" t="s">
        <v>222</v>
      </c>
      <c r="C598" s="126"/>
      <c r="D598" s="28"/>
      <c r="E598" s="28"/>
      <c r="F598" s="28"/>
      <c r="G598" s="31"/>
      <c r="H598" s="824" t="s">
        <v>35</v>
      </c>
      <c r="I598" s="33"/>
      <c r="J598" s="33"/>
      <c r="K598" s="34"/>
      <c r="L598" s="615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9"/>
      <c r="B599" s="160"/>
      <c r="C599" s="191" t="s">
        <v>18</v>
      </c>
      <c r="D599" s="825" t="s">
        <v>19</v>
      </c>
      <c r="E599" s="552"/>
      <c r="F599" s="552"/>
      <c r="G599" s="553"/>
      <c r="H599" s="512" t="s">
        <v>14</v>
      </c>
      <c r="I599" s="45"/>
      <c r="J599" s="45"/>
      <c r="K599" s="46"/>
      <c r="L599" s="617">
        <f t="shared" ref="L599:N599" ca="1" si="371">L600+L601</f>
        <v>0</v>
      </c>
      <c r="M599" s="133">
        <f t="shared" ca="1" si="371"/>
        <v>0</v>
      </c>
      <c r="N599" s="133">
        <f t="shared" ca="1" si="371"/>
        <v>0</v>
      </c>
      <c r="O599" s="133">
        <f t="shared" ref="O599:O607" ca="1" si="372">IF(L599&gt;0,N599*100/L599,0)</f>
        <v>0</v>
      </c>
      <c r="P599" s="133">
        <f t="shared" ref="P599:P607" ca="1" si="373">IF(M599&gt;0,N599*100/M599,0)</f>
        <v>0</v>
      </c>
      <c r="Q599" s="133">
        <f t="shared" ref="Q599:S599" ca="1" si="374">Q600+Q601</f>
        <v>0</v>
      </c>
      <c r="R599" s="133">
        <f t="shared" ca="1" si="374"/>
        <v>0</v>
      </c>
      <c r="S599" s="133">
        <f t="shared" ca="1" si="374"/>
        <v>0</v>
      </c>
      <c r="T599" s="133">
        <f t="shared" ref="T599:T607" ca="1" si="375">IF(Q599&gt;0,S599*100/Q599,0)</f>
        <v>0</v>
      </c>
      <c r="U599" s="133">
        <f t="shared" ref="U599:U607" ca="1" si="376">IF(R599&gt;0,S599*100/R599,0)</f>
        <v>0</v>
      </c>
    </row>
    <row r="600" spans="1:21" ht="18.75" hidden="1" x14ac:dyDescent="0.25">
      <c r="A600" s="129"/>
      <c r="B600" s="160"/>
      <c r="C600" s="160"/>
      <c r="D600" s="170"/>
      <c r="E600" s="158" t="s">
        <v>162</v>
      </c>
      <c r="F600" s="200"/>
      <c r="G600" s="43"/>
      <c r="H600" s="161" t="s">
        <v>14</v>
      </c>
      <c r="I600" s="45"/>
      <c r="J600" s="45"/>
      <c r="K600" s="46"/>
      <c r="L600" s="590">
        <f t="shared" ref="L600:N601" si="377">L603+L606</f>
        <v>0</v>
      </c>
      <c r="M600" s="49">
        <f t="shared" si="377"/>
        <v>0</v>
      </c>
      <c r="N600" s="49">
        <f t="shared" si="377"/>
        <v>0</v>
      </c>
      <c r="O600" s="49">
        <f t="shared" si="372"/>
        <v>0</v>
      </c>
      <c r="P600" s="49">
        <f t="shared" si="373"/>
        <v>0</v>
      </c>
      <c r="Q600" s="49">
        <f t="shared" ref="Q600:S601" si="378">Q603+Q606</f>
        <v>0</v>
      </c>
      <c r="R600" s="49">
        <f t="shared" si="378"/>
        <v>0</v>
      </c>
      <c r="S600" s="49">
        <f t="shared" si="378"/>
        <v>0</v>
      </c>
      <c r="T600" s="49">
        <f t="shared" si="375"/>
        <v>0</v>
      </c>
      <c r="U600" s="49">
        <f t="shared" si="376"/>
        <v>0</v>
      </c>
    </row>
    <row r="601" spans="1:21" ht="18.75" hidden="1" x14ac:dyDescent="0.25">
      <c r="A601" s="129"/>
      <c r="B601" s="160"/>
      <c r="C601" s="160"/>
      <c r="D601" s="170"/>
      <c r="E601" s="158" t="s">
        <v>163</v>
      </c>
      <c r="F601" s="200"/>
      <c r="G601" s="43"/>
      <c r="H601" s="161" t="s">
        <v>14</v>
      </c>
      <c r="I601" s="45"/>
      <c r="J601" s="45"/>
      <c r="K601" s="46"/>
      <c r="L601" s="588">
        <f t="shared" ca="1" si="377"/>
        <v>0</v>
      </c>
      <c r="M601" s="47">
        <f t="shared" ca="1" si="377"/>
        <v>0</v>
      </c>
      <c r="N601" s="47">
        <f t="shared" ca="1" si="377"/>
        <v>0</v>
      </c>
      <c r="O601" s="47">
        <f t="shared" ca="1" si="372"/>
        <v>0</v>
      </c>
      <c r="P601" s="47">
        <f t="shared" ca="1" si="373"/>
        <v>0</v>
      </c>
      <c r="Q601" s="47">
        <f t="shared" ca="1" si="378"/>
        <v>0</v>
      </c>
      <c r="R601" s="47">
        <f t="shared" ca="1" si="378"/>
        <v>0</v>
      </c>
      <c r="S601" s="47">
        <f t="shared" ca="1" si="378"/>
        <v>0</v>
      </c>
      <c r="T601" s="47">
        <f t="shared" ca="1" si="375"/>
        <v>0</v>
      </c>
      <c r="U601" s="47">
        <f t="shared" ca="1" si="376"/>
        <v>0</v>
      </c>
    </row>
    <row r="602" spans="1:21" ht="19.5" hidden="1" x14ac:dyDescent="0.3">
      <c r="A602" s="129"/>
      <c r="B602" s="160"/>
      <c r="C602" s="160"/>
      <c r="D602" s="651" t="s">
        <v>22</v>
      </c>
      <c r="E602" s="200"/>
      <c r="F602" s="200"/>
      <c r="G602" s="43"/>
      <c r="H602" s="512" t="s">
        <v>14</v>
      </c>
      <c r="I602" s="136"/>
      <c r="J602" s="136"/>
      <c r="K602" s="137"/>
      <c r="L602" s="588">
        <f t="shared" ref="L602:N602" ca="1" si="379">L603+L604</f>
        <v>0</v>
      </c>
      <c r="M602" s="47">
        <f t="shared" ca="1" si="379"/>
        <v>0</v>
      </c>
      <c r="N602" s="47">
        <f t="shared" ca="1" si="379"/>
        <v>0</v>
      </c>
      <c r="O602" s="47">
        <f t="shared" ca="1" si="372"/>
        <v>0</v>
      </c>
      <c r="P602" s="47">
        <f t="shared" ca="1" si="373"/>
        <v>0</v>
      </c>
      <c r="Q602" s="47">
        <f t="shared" ref="Q602:S602" ca="1" si="380">Q603+Q604</f>
        <v>0</v>
      </c>
      <c r="R602" s="47">
        <f t="shared" ca="1" si="380"/>
        <v>0</v>
      </c>
      <c r="S602" s="47">
        <f t="shared" ca="1" si="380"/>
        <v>0</v>
      </c>
      <c r="T602" s="47">
        <f t="shared" ca="1" si="375"/>
        <v>0</v>
      </c>
      <c r="U602" s="47">
        <f t="shared" ca="1" si="376"/>
        <v>0</v>
      </c>
    </row>
    <row r="603" spans="1:21" ht="18.75" hidden="1" x14ac:dyDescent="0.25">
      <c r="A603" s="129"/>
      <c r="B603" s="160"/>
      <c r="C603" s="160"/>
      <c r="D603" s="170"/>
      <c r="E603" s="158" t="s">
        <v>162</v>
      </c>
      <c r="F603" s="200"/>
      <c r="G603" s="43"/>
      <c r="H603" s="161" t="s">
        <v>14</v>
      </c>
      <c r="I603" s="45"/>
      <c r="J603" s="45"/>
      <c r="K603" s="46"/>
      <c r="L603" s="590">
        <v>0</v>
      </c>
      <c r="M603" s="49">
        <v>0</v>
      </c>
      <c r="N603" s="49">
        <v>0</v>
      </c>
      <c r="O603" s="49">
        <f t="shared" si="372"/>
        <v>0</v>
      </c>
      <c r="P603" s="49">
        <f t="shared" si="373"/>
        <v>0</v>
      </c>
      <c r="Q603" s="49">
        <v>0</v>
      </c>
      <c r="R603" s="49">
        <v>0</v>
      </c>
      <c r="S603" s="49">
        <v>0</v>
      </c>
      <c r="T603" s="49">
        <f t="shared" si="375"/>
        <v>0</v>
      </c>
      <c r="U603" s="49">
        <f t="shared" si="376"/>
        <v>0</v>
      </c>
    </row>
    <row r="604" spans="1:21" ht="18.75" hidden="1" x14ac:dyDescent="0.25">
      <c r="A604" s="129"/>
      <c r="B604" s="160"/>
      <c r="C604" s="160"/>
      <c r="D604" s="170"/>
      <c r="E604" s="158" t="s">
        <v>163</v>
      </c>
      <c r="F604" s="200"/>
      <c r="G604" s="43"/>
      <c r="H604" s="161" t="s">
        <v>14</v>
      </c>
      <c r="I604" s="45"/>
      <c r="J604" s="45"/>
      <c r="K604" s="46"/>
      <c r="L604" s="588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t="shared" ca="1" si="372"/>
        <v>0</v>
      </c>
      <c r="P604" s="47">
        <f t="shared" ca="1" si="373"/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t="shared" ca="1" si="375"/>
        <v>0</v>
      </c>
      <c r="U604" s="47">
        <f t="shared" ca="1" si="376"/>
        <v>0</v>
      </c>
    </row>
    <row r="605" spans="1:21" ht="19.5" hidden="1" x14ac:dyDescent="0.3">
      <c r="A605" s="129"/>
      <c r="B605" s="160"/>
      <c r="C605" s="160"/>
      <c r="D605" s="651" t="s">
        <v>23</v>
      </c>
      <c r="E605" s="160"/>
      <c r="F605" s="200"/>
      <c r="G605" s="43"/>
      <c r="H605" s="514" t="s">
        <v>14</v>
      </c>
      <c r="I605" s="136"/>
      <c r="J605" s="136"/>
      <c r="K605" s="137"/>
      <c r="L605" s="588">
        <f t="shared" ref="L605:N605" ca="1" si="381">L606+L607</f>
        <v>0</v>
      </c>
      <c r="M605" s="47">
        <f t="shared" ca="1" si="381"/>
        <v>0</v>
      </c>
      <c r="N605" s="47">
        <f t="shared" ca="1" si="381"/>
        <v>0</v>
      </c>
      <c r="O605" s="47">
        <f t="shared" ca="1" si="372"/>
        <v>0</v>
      </c>
      <c r="P605" s="47">
        <f t="shared" ca="1" si="373"/>
        <v>0</v>
      </c>
      <c r="Q605" s="47">
        <f t="shared" ref="Q605:S605" ca="1" si="382">Q606+Q607</f>
        <v>0</v>
      </c>
      <c r="R605" s="47">
        <f t="shared" ca="1" si="382"/>
        <v>0</v>
      </c>
      <c r="S605" s="47">
        <f t="shared" ca="1" si="382"/>
        <v>0</v>
      </c>
      <c r="T605" s="47">
        <f t="shared" ca="1" si="375"/>
        <v>0</v>
      </c>
      <c r="U605" s="47">
        <f t="shared" ca="1" si="376"/>
        <v>0</v>
      </c>
    </row>
    <row r="606" spans="1:21" ht="18.75" hidden="1" x14ac:dyDescent="0.25">
      <c r="A606" s="129"/>
      <c r="B606" s="160"/>
      <c r="C606" s="160"/>
      <c r="D606" s="160"/>
      <c r="E606" s="511" t="s">
        <v>20</v>
      </c>
      <c r="F606" s="200"/>
      <c r="G606" s="43"/>
      <c r="H606" s="161" t="s">
        <v>14</v>
      </c>
      <c r="I606" s="136"/>
      <c r="J606" s="136"/>
      <c r="K606" s="137"/>
      <c r="L606" s="590">
        <v>0</v>
      </c>
      <c r="M606" s="49">
        <v>0</v>
      </c>
      <c r="N606" s="49">
        <v>0</v>
      </c>
      <c r="O606" s="49">
        <f t="shared" si="372"/>
        <v>0</v>
      </c>
      <c r="P606" s="49">
        <f t="shared" si="373"/>
        <v>0</v>
      </c>
      <c r="Q606" s="49">
        <v>0</v>
      </c>
      <c r="R606" s="49">
        <v>0</v>
      </c>
      <c r="S606" s="49">
        <v>0</v>
      </c>
      <c r="T606" s="49">
        <f t="shared" si="375"/>
        <v>0</v>
      </c>
      <c r="U606" s="49">
        <f t="shared" si="376"/>
        <v>0</v>
      </c>
    </row>
    <row r="607" spans="1:21" ht="18.75" hidden="1" x14ac:dyDescent="0.25">
      <c r="A607" s="129"/>
      <c r="B607" s="160"/>
      <c r="C607" s="160"/>
      <c r="D607" s="200"/>
      <c r="E607" s="511" t="s">
        <v>21</v>
      </c>
      <c r="F607" s="200"/>
      <c r="G607" s="43"/>
      <c r="H607" s="515" t="s">
        <v>14</v>
      </c>
      <c r="I607" s="136"/>
      <c r="J607" s="136"/>
      <c r="K607" s="137"/>
      <c r="L607" s="588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t="shared" ca="1" si="372"/>
        <v>0</v>
      </c>
      <c r="P607" s="47">
        <f t="shared" ca="1" si="373"/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t="shared" ca="1" si="375"/>
        <v>0</v>
      </c>
      <c r="U607" s="47">
        <f t="shared" ca="1" si="376"/>
        <v>0</v>
      </c>
    </row>
    <row r="608" spans="1:21" ht="19.5" hidden="1" x14ac:dyDescent="0.3">
      <c r="A608" s="139"/>
      <c r="B608" s="140"/>
      <c r="C608" s="191" t="s">
        <v>18</v>
      </c>
      <c r="D608" s="666" t="s">
        <v>38</v>
      </c>
      <c r="E608" s="142"/>
      <c r="F608" s="142"/>
      <c r="G608" s="143"/>
      <c r="H608" s="192"/>
      <c r="I608" s="136"/>
      <c r="J608" s="136"/>
      <c r="K608" s="137"/>
      <c r="L608" s="591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9"/>
      <c r="B609" s="140"/>
      <c r="C609" s="140"/>
      <c r="D609" s="526" t="s">
        <v>223</v>
      </c>
      <c r="E609" s="170"/>
      <c r="F609" s="170"/>
      <c r="G609" s="144"/>
      <c r="H609" s="161" t="s">
        <v>99</v>
      </c>
      <c r="I609" s="45"/>
      <c r="J609" s="45"/>
      <c r="K609" s="137"/>
      <c r="L609" s="591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9"/>
      <c r="B610" s="140"/>
      <c r="C610" s="140"/>
      <c r="D610" s="526" t="s">
        <v>224</v>
      </c>
      <c r="E610" s="170"/>
      <c r="F610" s="170"/>
      <c r="G610" s="144"/>
      <c r="H610" s="512" t="s">
        <v>35</v>
      </c>
      <c r="I610" s="45"/>
      <c r="J610" s="45"/>
      <c r="K610" s="137"/>
      <c r="L610" s="591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9"/>
      <c r="B611" s="140"/>
      <c r="C611" s="140"/>
      <c r="D611" s="140"/>
      <c r="E611" s="526" t="s">
        <v>225</v>
      </c>
      <c r="F611" s="170"/>
      <c r="G611" s="144"/>
      <c r="H611" s="515" t="s">
        <v>35</v>
      </c>
      <c r="I611" s="45"/>
      <c r="J611" s="45"/>
      <c r="K611" s="137"/>
      <c r="L611" s="591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826"/>
      <c r="B612" s="827"/>
      <c r="C612" s="827"/>
      <c r="D612" s="827"/>
      <c r="E612" s="828" t="s">
        <v>226</v>
      </c>
      <c r="F612" s="829"/>
      <c r="G612" s="830"/>
      <c r="H612" s="831" t="s">
        <v>35</v>
      </c>
      <c r="I612" s="832"/>
      <c r="J612" s="832"/>
      <c r="K612" s="833"/>
      <c r="L612" s="834"/>
      <c r="M612" s="835"/>
      <c r="N612" s="835"/>
      <c r="O612" s="835"/>
      <c r="P612" s="835"/>
      <c r="Q612" s="835"/>
      <c r="R612" s="835"/>
      <c r="S612" s="835"/>
      <c r="T612" s="835"/>
      <c r="U612" s="835"/>
    </row>
    <row r="613" spans="1:21" ht="19.5" hidden="1" x14ac:dyDescent="0.3">
      <c r="A613" s="469" t="s">
        <v>227</v>
      </c>
      <c r="B613" s="470"/>
      <c r="C613" s="470"/>
      <c r="D613" s="471"/>
      <c r="E613" s="471"/>
      <c r="F613" s="471"/>
      <c r="G613" s="472"/>
      <c r="H613" s="473"/>
      <c r="I613" s="474"/>
      <c r="J613" s="474"/>
      <c r="K613" s="475"/>
      <c r="L613" s="836"/>
      <c r="M613" s="475"/>
      <c r="N613" s="475"/>
      <c r="O613" s="475"/>
      <c r="P613" s="475"/>
      <c r="Q613" s="475"/>
      <c r="R613" s="475"/>
      <c r="S613" s="475"/>
      <c r="T613" s="475"/>
      <c r="U613" s="475"/>
    </row>
    <row r="614" spans="1:21" ht="19.5" x14ac:dyDescent="0.3">
      <c r="A614" s="521"/>
      <c r="B614" s="477" t="s">
        <v>228</v>
      </c>
      <c r="C614" s="476"/>
      <c r="D614" s="478"/>
      <c r="E614" s="478"/>
      <c r="F614" s="478"/>
      <c r="G614" s="479"/>
      <c r="H614" s="480"/>
      <c r="I614" s="481"/>
      <c r="J614" s="481"/>
      <c r="K614" s="482"/>
      <c r="L614" s="837"/>
      <c r="M614" s="482"/>
      <c r="N614" s="482"/>
      <c r="O614" s="482"/>
      <c r="P614" s="482"/>
      <c r="Q614" s="482"/>
      <c r="R614" s="482"/>
      <c r="S614" s="482"/>
      <c r="T614" s="482"/>
      <c r="U614" s="482"/>
    </row>
    <row r="615" spans="1:21" ht="19.5" x14ac:dyDescent="0.3">
      <c r="A615" s="747"/>
      <c r="B615" s="484" t="s">
        <v>229</v>
      </c>
      <c r="C615" s="483"/>
      <c r="D615" s="485"/>
      <c r="E615" s="485"/>
      <c r="F615" s="485"/>
      <c r="G615" s="486"/>
      <c r="H615" s="487" t="s">
        <v>46</v>
      </c>
      <c r="I615" s="488">
        <f t="shared" ref="I615:J615" ca="1" si="383">I626</f>
        <v>50</v>
      </c>
      <c r="J615" s="488">
        <f t="shared" si="383"/>
        <v>0</v>
      </c>
      <c r="K615" s="489">
        <f ca="1">IF(I615&gt;0,J615*100/I615,0)</f>
        <v>0</v>
      </c>
      <c r="L615" s="750"/>
      <c r="M615" s="490"/>
      <c r="N615" s="490"/>
      <c r="O615" s="490"/>
      <c r="P615" s="490"/>
      <c r="Q615" s="490"/>
      <c r="R615" s="490"/>
      <c r="S615" s="490"/>
      <c r="T615" s="490"/>
      <c r="U615" s="490"/>
    </row>
    <row r="616" spans="1:21" ht="19.5" x14ac:dyDescent="0.3">
      <c r="A616" s="129"/>
      <c r="B616" s="160"/>
      <c r="C616" s="409" t="s">
        <v>18</v>
      </c>
      <c r="D616" s="838" t="s">
        <v>19</v>
      </c>
      <c r="E616" s="552"/>
      <c r="F616" s="552"/>
      <c r="G616" s="553"/>
      <c r="H616" s="240" t="s">
        <v>14</v>
      </c>
      <c r="I616" s="45"/>
      <c r="J616" s="45"/>
      <c r="K616" s="46"/>
      <c r="L616" s="617">
        <f t="shared" ref="L616:N616" si="384">L617+L618</f>
        <v>0</v>
      </c>
      <c r="M616" s="133">
        <f t="shared" si="384"/>
        <v>0</v>
      </c>
      <c r="N616" s="133">
        <f t="shared" si="384"/>
        <v>0</v>
      </c>
      <c r="O616" s="133">
        <f t="shared" ref="O616:O624" si="385">IF(L616&gt;0,N616*100/L616,0)</f>
        <v>0</v>
      </c>
      <c r="P616" s="133">
        <f t="shared" ref="P616:P624" si="386">IF(M616&gt;0,N616*100/M616,0)</f>
        <v>0</v>
      </c>
      <c r="Q616" s="133">
        <f t="shared" ref="Q616:S616" ca="1" si="387">Q617+Q618</f>
        <v>6775</v>
      </c>
      <c r="R616" s="133">
        <f t="shared" ca="1" si="387"/>
        <v>0</v>
      </c>
      <c r="S616" s="133">
        <f t="shared" ca="1" si="387"/>
        <v>0</v>
      </c>
      <c r="T616" s="133">
        <f t="shared" ref="T616:T624" ca="1" si="388">IF(Q616&gt;0,S616*100/Q616,0)</f>
        <v>0</v>
      </c>
      <c r="U616" s="133">
        <f t="shared" ref="U616:U624" ca="1" si="389">IF(R616&gt;0,S616*100/R616,0)</f>
        <v>0</v>
      </c>
    </row>
    <row r="617" spans="1:21" ht="18.75" hidden="1" x14ac:dyDescent="0.25">
      <c r="A617" s="129"/>
      <c r="B617" s="160"/>
      <c r="C617" s="160"/>
      <c r="D617" s="170"/>
      <c r="E617" s="158" t="s">
        <v>162</v>
      </c>
      <c r="F617" s="200"/>
      <c r="G617" s="43"/>
      <c r="H617" s="161" t="s">
        <v>14</v>
      </c>
      <c r="I617" s="45"/>
      <c r="J617" s="45"/>
      <c r="K617" s="46"/>
      <c r="L617" s="590">
        <f t="shared" ref="L617:N618" si="390">L620+L623</f>
        <v>0</v>
      </c>
      <c r="M617" s="49">
        <f t="shared" si="390"/>
        <v>0</v>
      </c>
      <c r="N617" s="49">
        <f t="shared" si="390"/>
        <v>0</v>
      </c>
      <c r="O617" s="49">
        <f t="shared" si="385"/>
        <v>0</v>
      </c>
      <c r="P617" s="49">
        <f t="shared" si="386"/>
        <v>0</v>
      </c>
      <c r="Q617" s="49">
        <f t="shared" ref="Q617:S618" si="391">Q620+Q623</f>
        <v>0</v>
      </c>
      <c r="R617" s="49">
        <f t="shared" si="391"/>
        <v>0</v>
      </c>
      <c r="S617" s="49">
        <f t="shared" si="391"/>
        <v>0</v>
      </c>
      <c r="T617" s="49">
        <f t="shared" si="388"/>
        <v>0</v>
      </c>
      <c r="U617" s="49">
        <f t="shared" si="389"/>
        <v>0</v>
      </c>
    </row>
    <row r="618" spans="1:21" ht="18.75" hidden="1" x14ac:dyDescent="0.25">
      <c r="A618" s="129"/>
      <c r="B618" s="160"/>
      <c r="C618" s="160"/>
      <c r="D618" s="170"/>
      <c r="E618" s="271" t="s">
        <v>163</v>
      </c>
      <c r="F618" s="200"/>
      <c r="G618" s="43"/>
      <c r="H618" s="135" t="s">
        <v>14</v>
      </c>
      <c r="I618" s="45"/>
      <c r="J618" s="45"/>
      <c r="K618" s="46"/>
      <c r="L618" s="588">
        <f t="shared" si="390"/>
        <v>0</v>
      </c>
      <c r="M618" s="47">
        <f t="shared" si="390"/>
        <v>0</v>
      </c>
      <c r="N618" s="47">
        <f t="shared" si="390"/>
        <v>0</v>
      </c>
      <c r="O618" s="47">
        <f t="shared" si="385"/>
        <v>0</v>
      </c>
      <c r="P618" s="47">
        <f t="shared" si="386"/>
        <v>0</v>
      </c>
      <c r="Q618" s="47">
        <f t="shared" ca="1" si="391"/>
        <v>6775</v>
      </c>
      <c r="R618" s="47">
        <f t="shared" ca="1" si="391"/>
        <v>0</v>
      </c>
      <c r="S618" s="47">
        <f t="shared" ca="1" si="391"/>
        <v>0</v>
      </c>
      <c r="T618" s="47">
        <f t="shared" ca="1" si="388"/>
        <v>0</v>
      </c>
      <c r="U618" s="47">
        <f t="shared" ca="1" si="389"/>
        <v>0</v>
      </c>
    </row>
    <row r="619" spans="1:21" ht="18.75" x14ac:dyDescent="0.25">
      <c r="A619" s="129"/>
      <c r="B619" s="160"/>
      <c r="C619" s="160"/>
      <c r="D619" s="42" t="s">
        <v>22</v>
      </c>
      <c r="E619" s="200"/>
      <c r="F619" s="200"/>
      <c r="G619" s="43"/>
      <c r="H619" s="135" t="s">
        <v>14</v>
      </c>
      <c r="I619" s="136"/>
      <c r="J619" s="136"/>
      <c r="K619" s="137"/>
      <c r="L619" s="588">
        <f t="shared" ref="L619:N619" si="392">L620+L621</f>
        <v>0</v>
      </c>
      <c r="M619" s="47">
        <f t="shared" si="392"/>
        <v>0</v>
      </c>
      <c r="N619" s="47">
        <f t="shared" si="392"/>
        <v>0</v>
      </c>
      <c r="O619" s="47">
        <f t="shared" si="385"/>
        <v>0</v>
      </c>
      <c r="P619" s="47">
        <f t="shared" si="386"/>
        <v>0</v>
      </c>
      <c r="Q619" s="47">
        <f t="shared" ref="Q619:S619" ca="1" si="393">Q620+Q621</f>
        <v>6775</v>
      </c>
      <c r="R619" s="47">
        <f t="shared" ca="1" si="393"/>
        <v>0</v>
      </c>
      <c r="S619" s="47">
        <f t="shared" ca="1" si="393"/>
        <v>0</v>
      </c>
      <c r="T619" s="47">
        <f t="shared" ca="1" si="388"/>
        <v>0</v>
      </c>
      <c r="U619" s="47">
        <f t="shared" ca="1" si="389"/>
        <v>0</v>
      </c>
    </row>
    <row r="620" spans="1:21" ht="18.75" hidden="1" x14ac:dyDescent="0.25">
      <c r="A620" s="129"/>
      <c r="B620" s="160"/>
      <c r="C620" s="160"/>
      <c r="D620" s="170"/>
      <c r="E620" s="158" t="s">
        <v>162</v>
      </c>
      <c r="F620" s="200"/>
      <c r="G620" s="43"/>
      <c r="H620" s="161" t="s">
        <v>14</v>
      </c>
      <c r="I620" s="45"/>
      <c r="J620" s="45"/>
      <c r="K620" s="46"/>
      <c r="L620" s="590">
        <v>0</v>
      </c>
      <c r="M620" s="49">
        <v>0</v>
      </c>
      <c r="N620" s="49">
        <v>0</v>
      </c>
      <c r="O620" s="49">
        <f t="shared" si="385"/>
        <v>0</v>
      </c>
      <c r="P620" s="49">
        <f t="shared" si="386"/>
        <v>0</v>
      </c>
      <c r="Q620" s="49">
        <v>0</v>
      </c>
      <c r="R620" s="49">
        <v>0</v>
      </c>
      <c r="S620" s="49">
        <v>0</v>
      </c>
      <c r="T620" s="49">
        <f t="shared" si="388"/>
        <v>0</v>
      </c>
      <c r="U620" s="49">
        <f t="shared" si="389"/>
        <v>0</v>
      </c>
    </row>
    <row r="621" spans="1:21" ht="18.75" hidden="1" x14ac:dyDescent="0.25">
      <c r="A621" s="129"/>
      <c r="B621" s="160"/>
      <c r="C621" s="160"/>
      <c r="D621" s="170"/>
      <c r="E621" s="271" t="s">
        <v>163</v>
      </c>
      <c r="F621" s="200"/>
      <c r="G621" s="43"/>
      <c r="H621" s="135" t="s">
        <v>14</v>
      </c>
      <c r="I621" s="45"/>
      <c r="J621" s="45"/>
      <c r="K621" s="46"/>
      <c r="L621" s="588">
        <v>0</v>
      </c>
      <c r="M621" s="47">
        <v>0</v>
      </c>
      <c r="N621" s="47">
        <v>0</v>
      </c>
      <c r="O621" s="47">
        <f t="shared" si="385"/>
        <v>0</v>
      </c>
      <c r="P621" s="47">
        <f t="shared" si="386"/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IFERROR(__xludf.DUMMYFUNCTION("IMPORTRANGE(""https://docs.google.com/spreadsheets/d/1ItG2mGa2ceCfYo0BwxsXqNm01IGEUdYcSSLTEv9YCik/edit?usp=sharing"",""เบิกจ่ายกองทุน!G82"")"),0)</f>
        <v>0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t="shared" ca="1" si="388"/>
        <v>0</v>
      </c>
      <c r="U621" s="47">
        <f t="shared" ca="1" si="389"/>
        <v>0</v>
      </c>
    </row>
    <row r="622" spans="1:21" ht="18.75" x14ac:dyDescent="0.25">
      <c r="A622" s="129"/>
      <c r="B622" s="160"/>
      <c r="C622" s="160"/>
      <c r="D622" s="42" t="s">
        <v>23</v>
      </c>
      <c r="E622" s="200"/>
      <c r="F622" s="200"/>
      <c r="G622" s="43"/>
      <c r="H622" s="138" t="s">
        <v>14</v>
      </c>
      <c r="I622" s="136"/>
      <c r="J622" s="136"/>
      <c r="K622" s="137"/>
      <c r="L622" s="588">
        <f t="shared" ref="L622:N622" si="394">L623+L624</f>
        <v>0</v>
      </c>
      <c r="M622" s="47">
        <f t="shared" si="394"/>
        <v>0</v>
      </c>
      <c r="N622" s="47">
        <f t="shared" si="394"/>
        <v>0</v>
      </c>
      <c r="O622" s="47">
        <f t="shared" si="385"/>
        <v>0</v>
      </c>
      <c r="P622" s="47">
        <f t="shared" si="386"/>
        <v>0</v>
      </c>
      <c r="Q622" s="47">
        <f t="shared" ref="Q622:S622" si="395">Q623+Q624</f>
        <v>0</v>
      </c>
      <c r="R622" s="47">
        <f t="shared" si="395"/>
        <v>0</v>
      </c>
      <c r="S622" s="47">
        <f t="shared" si="395"/>
        <v>0</v>
      </c>
      <c r="T622" s="47">
        <f t="shared" si="388"/>
        <v>0</v>
      </c>
      <c r="U622" s="47">
        <f t="shared" si="389"/>
        <v>0</v>
      </c>
    </row>
    <row r="623" spans="1:21" ht="18.75" hidden="1" x14ac:dyDescent="0.25">
      <c r="A623" s="129"/>
      <c r="B623" s="160"/>
      <c r="C623" s="160"/>
      <c r="D623" s="160"/>
      <c r="E623" s="158" t="s">
        <v>20</v>
      </c>
      <c r="F623" s="200"/>
      <c r="G623" s="43"/>
      <c r="H623" s="161" t="s">
        <v>14</v>
      </c>
      <c r="I623" s="136"/>
      <c r="J623" s="136"/>
      <c r="K623" s="137"/>
      <c r="L623" s="590">
        <v>0</v>
      </c>
      <c r="M623" s="49">
        <v>0</v>
      </c>
      <c r="N623" s="49">
        <v>0</v>
      </c>
      <c r="O623" s="49">
        <f t="shared" si="385"/>
        <v>0</v>
      </c>
      <c r="P623" s="49">
        <f t="shared" si="386"/>
        <v>0</v>
      </c>
      <c r="Q623" s="49">
        <v>0</v>
      </c>
      <c r="R623" s="49">
        <v>0</v>
      </c>
      <c r="S623" s="49">
        <v>0</v>
      </c>
      <c r="T623" s="49">
        <f t="shared" si="388"/>
        <v>0</v>
      </c>
      <c r="U623" s="49">
        <f t="shared" si="389"/>
        <v>0</v>
      </c>
    </row>
    <row r="624" spans="1:21" ht="18.75" hidden="1" x14ac:dyDescent="0.25">
      <c r="A624" s="129"/>
      <c r="B624" s="160"/>
      <c r="C624" s="160"/>
      <c r="D624" s="160"/>
      <c r="E624" s="271" t="s">
        <v>21</v>
      </c>
      <c r="F624" s="200"/>
      <c r="G624" s="43"/>
      <c r="H624" s="138" t="s">
        <v>14</v>
      </c>
      <c r="I624" s="136"/>
      <c r="J624" s="136"/>
      <c r="K624" s="137"/>
      <c r="L624" s="588">
        <v>0</v>
      </c>
      <c r="M624" s="47">
        <v>0</v>
      </c>
      <c r="N624" s="47">
        <v>0</v>
      </c>
      <c r="O624" s="47">
        <f t="shared" si="385"/>
        <v>0</v>
      </c>
      <c r="P624" s="47">
        <f t="shared" si="386"/>
        <v>0</v>
      </c>
      <c r="Q624" s="47">
        <v>0</v>
      </c>
      <c r="R624" s="47">
        <v>0</v>
      </c>
      <c r="S624" s="47">
        <v>0</v>
      </c>
      <c r="T624" s="47">
        <f t="shared" si="388"/>
        <v>0</v>
      </c>
      <c r="U624" s="47">
        <f t="shared" si="389"/>
        <v>0</v>
      </c>
    </row>
    <row r="625" spans="1:21" ht="19.5" x14ac:dyDescent="0.3">
      <c r="A625" s="139"/>
      <c r="B625" s="140"/>
      <c r="C625" s="409" t="s">
        <v>18</v>
      </c>
      <c r="D625" s="839" t="s">
        <v>38</v>
      </c>
      <c r="E625" s="142"/>
      <c r="F625" s="142"/>
      <c r="G625" s="143"/>
      <c r="H625" s="192"/>
      <c r="I625" s="136"/>
      <c r="J625" s="136"/>
      <c r="K625" s="137"/>
      <c r="L625" s="619"/>
      <c r="M625" s="137"/>
      <c r="N625" s="137"/>
      <c r="O625" s="137"/>
      <c r="P625" s="137"/>
      <c r="Q625" s="137"/>
      <c r="R625" s="137"/>
      <c r="S625" s="137"/>
      <c r="T625" s="137"/>
      <c r="U625" s="137"/>
    </row>
    <row r="626" spans="1:21" ht="19.5" x14ac:dyDescent="0.3">
      <c r="A626" s="139"/>
      <c r="B626" s="140"/>
      <c r="C626" s="140"/>
      <c r="D626" s="492" t="s">
        <v>230</v>
      </c>
      <c r="E626" s="170"/>
      <c r="F626" s="170"/>
      <c r="G626" s="144"/>
      <c r="H626" s="493" t="s">
        <v>46</v>
      </c>
      <c r="I626" s="371">
        <f ca="1">IFERROR(__xludf.DUMMYFUNCTION("IMPORTRANGE(""https://docs.google.com/spreadsheets/d/1eHaY18a8A9IcSdp1K8H6x8fbOy06t2VsZHhMHf-1x7Y/edit?usp=sharing"",""แผน!ID82"")"),50)</f>
        <v>50</v>
      </c>
      <c r="J626" s="371">
        <f>J632</f>
        <v>0</v>
      </c>
      <c r="K626" s="133">
        <f ca="1">IF(I626&gt;0,J626*100/I626,0)</f>
        <v>0</v>
      </c>
      <c r="L626" s="619"/>
      <c r="M626" s="137"/>
      <c r="N626" s="137"/>
      <c r="O626" s="137"/>
      <c r="P626" s="137"/>
      <c r="Q626" s="137"/>
      <c r="R626" s="137"/>
      <c r="S626" s="137"/>
      <c r="T626" s="137"/>
      <c r="U626" s="137"/>
    </row>
    <row r="627" spans="1:21" ht="18.75" x14ac:dyDescent="0.25">
      <c r="A627" s="139"/>
      <c r="B627" s="140"/>
      <c r="C627" s="140"/>
      <c r="D627" s="140"/>
      <c r="E627" s="303" t="s">
        <v>231</v>
      </c>
      <c r="F627" s="170"/>
      <c r="G627" s="144"/>
      <c r="H627" s="138" t="s">
        <v>61</v>
      </c>
      <c r="I627" s="372">
        <f ca="1">IFERROR(__xludf.DUMMYFUNCTION("IMPORTRANGE(""https://docs.google.com/spreadsheets/d/1eHaY18a8A9IcSdp1K8H6x8fbOy06t2VsZHhMHf-1x7Y/edit?usp=sharing"",""แผน!IC82"")"),0)</f>
        <v>0</v>
      </c>
      <c r="J627" s="169">
        <v>5</v>
      </c>
      <c r="K627" s="47">
        <f t="shared" ref="K627:K628" ca="1" si="396">IF(I627&gt;0,(J627*100)/I627,0)</f>
        <v>0</v>
      </c>
      <c r="L627" s="619"/>
      <c r="M627" s="137"/>
      <c r="N627" s="137"/>
      <c r="O627" s="137"/>
      <c r="P627" s="137"/>
      <c r="Q627" s="137"/>
      <c r="R627" s="137"/>
      <c r="S627" s="137"/>
      <c r="T627" s="137"/>
      <c r="U627" s="137"/>
    </row>
    <row r="628" spans="1:21" ht="18.75" x14ac:dyDescent="0.25">
      <c r="A628" s="139"/>
      <c r="B628" s="140"/>
      <c r="C628" s="140"/>
      <c r="D628" s="140"/>
      <c r="E628" s="303" t="s">
        <v>232</v>
      </c>
      <c r="F628" s="170"/>
      <c r="G628" s="144"/>
      <c r="H628" s="138" t="s">
        <v>61</v>
      </c>
      <c r="I628" s="372">
        <f ca="1">IFERROR(__xludf.DUMMYFUNCTION("IMPORTRANGE(""https://docs.google.com/spreadsheets/d/1eHaY18a8A9IcSdp1K8H6x8fbOy06t2VsZHhMHf-1x7Y/edit?usp=sharing"",""แผน!IC82"")"),0)</f>
        <v>0</v>
      </c>
      <c r="J628" s="169">
        <v>5</v>
      </c>
      <c r="K628" s="47">
        <f t="shared" ca="1" si="396"/>
        <v>0</v>
      </c>
      <c r="L628" s="619"/>
      <c r="M628" s="137"/>
      <c r="N628" s="137"/>
      <c r="O628" s="137"/>
      <c r="P628" s="137"/>
      <c r="Q628" s="137"/>
      <c r="R628" s="137"/>
      <c r="S628" s="137"/>
      <c r="T628" s="137"/>
      <c r="U628" s="137"/>
    </row>
    <row r="629" spans="1:21" ht="18.75" x14ac:dyDescent="0.25">
      <c r="A629" s="139"/>
      <c r="B629" s="140"/>
      <c r="C629" s="140"/>
      <c r="D629" s="140"/>
      <c r="E629" s="303" t="s">
        <v>233</v>
      </c>
      <c r="F629" s="170"/>
      <c r="G629" s="144"/>
      <c r="H629" s="138" t="s">
        <v>46</v>
      </c>
      <c r="I629" s="45"/>
      <c r="J629" s="169">
        <v>0</v>
      </c>
      <c r="K629" s="47">
        <f t="shared" ref="K629:K631" ca="1" si="397">IF(I$626&gt;0,J629*100/I$626,0)</f>
        <v>0</v>
      </c>
      <c r="L629" s="619"/>
      <c r="M629" s="137"/>
      <c r="N629" s="137"/>
      <c r="O629" s="137"/>
      <c r="P629" s="137"/>
      <c r="Q629" s="137"/>
      <c r="R629" s="137"/>
      <c r="S629" s="137"/>
      <c r="T629" s="137"/>
      <c r="U629" s="137"/>
    </row>
    <row r="630" spans="1:21" ht="18.75" x14ac:dyDescent="0.25">
      <c r="A630" s="139"/>
      <c r="B630" s="140"/>
      <c r="C630" s="140"/>
      <c r="D630" s="140"/>
      <c r="E630" s="303" t="s">
        <v>234</v>
      </c>
      <c r="F630" s="170"/>
      <c r="G630" s="144"/>
      <c r="H630" s="138" t="s">
        <v>46</v>
      </c>
      <c r="I630" s="45"/>
      <c r="J630" s="169">
        <v>0</v>
      </c>
      <c r="K630" s="47">
        <f t="shared" ca="1" si="397"/>
        <v>0</v>
      </c>
      <c r="L630" s="619"/>
      <c r="M630" s="137"/>
      <c r="N630" s="137"/>
      <c r="O630" s="137"/>
      <c r="P630" s="137"/>
      <c r="Q630" s="137"/>
      <c r="R630" s="137"/>
      <c r="S630" s="137"/>
      <c r="T630" s="137"/>
      <c r="U630" s="137"/>
    </row>
    <row r="631" spans="1:21" ht="18.75" x14ac:dyDescent="0.25">
      <c r="A631" s="139"/>
      <c r="B631" s="140"/>
      <c r="C631" s="140"/>
      <c r="D631" s="140"/>
      <c r="E631" s="303" t="s">
        <v>235</v>
      </c>
      <c r="F631" s="170"/>
      <c r="G631" s="144"/>
      <c r="H631" s="138" t="s">
        <v>46</v>
      </c>
      <c r="I631" s="45"/>
      <c r="J631" s="169">
        <v>0</v>
      </c>
      <c r="K631" s="47">
        <f t="shared" ca="1" si="397"/>
        <v>0</v>
      </c>
      <c r="L631" s="619"/>
      <c r="M631" s="137"/>
      <c r="N631" s="137"/>
      <c r="O631" s="137"/>
      <c r="P631" s="137"/>
      <c r="Q631" s="137"/>
      <c r="R631" s="137"/>
      <c r="S631" s="137"/>
      <c r="T631" s="137"/>
      <c r="U631" s="137"/>
    </row>
    <row r="632" spans="1:21" ht="19.5" x14ac:dyDescent="0.3">
      <c r="A632" s="139"/>
      <c r="B632" s="140"/>
      <c r="C632" s="140"/>
      <c r="D632" s="140"/>
      <c r="E632" s="303" t="s">
        <v>236</v>
      </c>
      <c r="F632" s="170"/>
      <c r="G632" s="144"/>
      <c r="H632" s="138" t="s">
        <v>46</v>
      </c>
      <c r="I632" s="45"/>
      <c r="J632" s="371">
        <f>J633+J634</f>
        <v>0</v>
      </c>
      <c r="K632" s="133">
        <f ca="1">IF(I626&gt;0,J632*100/I626,0)</f>
        <v>0</v>
      </c>
      <c r="L632" s="619"/>
      <c r="M632" s="137"/>
      <c r="N632" s="137"/>
      <c r="O632" s="137"/>
      <c r="P632" s="137"/>
      <c r="Q632" s="137"/>
      <c r="R632" s="137"/>
      <c r="S632" s="137"/>
      <c r="T632" s="137"/>
      <c r="U632" s="137"/>
    </row>
    <row r="633" spans="1:21" ht="18.75" x14ac:dyDescent="0.25">
      <c r="A633" s="139"/>
      <c r="B633" s="140"/>
      <c r="C633" s="140"/>
      <c r="D633" s="140"/>
      <c r="E633" s="170"/>
      <c r="F633" s="303" t="s">
        <v>237</v>
      </c>
      <c r="G633" s="144"/>
      <c r="H633" s="138" t="s">
        <v>46</v>
      </c>
      <c r="I633" s="45"/>
      <c r="J633" s="169">
        <v>0</v>
      </c>
      <c r="K633" s="46"/>
      <c r="L633" s="619"/>
      <c r="M633" s="137"/>
      <c r="N633" s="137"/>
      <c r="O633" s="137"/>
      <c r="P633" s="137"/>
      <c r="Q633" s="137"/>
      <c r="R633" s="137"/>
      <c r="S633" s="137"/>
      <c r="T633" s="137"/>
      <c r="U633" s="137"/>
    </row>
    <row r="634" spans="1:21" ht="18.75" x14ac:dyDescent="0.25">
      <c r="A634" s="139"/>
      <c r="B634" s="140"/>
      <c r="C634" s="140"/>
      <c r="D634" s="140"/>
      <c r="E634" s="170"/>
      <c r="F634" s="303" t="s">
        <v>238</v>
      </c>
      <c r="G634" s="144"/>
      <c r="H634" s="138" t="s">
        <v>46</v>
      </c>
      <c r="I634" s="45"/>
      <c r="J634" s="169">
        <v>0</v>
      </c>
      <c r="K634" s="46"/>
      <c r="L634" s="619"/>
      <c r="M634" s="137"/>
      <c r="N634" s="137"/>
      <c r="O634" s="137"/>
      <c r="P634" s="137"/>
      <c r="Q634" s="137"/>
      <c r="R634" s="137"/>
      <c r="S634" s="137"/>
      <c r="T634" s="137"/>
      <c r="U634" s="137"/>
    </row>
    <row r="635" spans="1:21" ht="19.5" x14ac:dyDescent="0.3">
      <c r="A635" s="139"/>
      <c r="B635" s="140"/>
      <c r="C635" s="140"/>
      <c r="D635" s="492" t="s">
        <v>239</v>
      </c>
      <c r="E635" s="170"/>
      <c r="F635" s="170"/>
      <c r="G635" s="144"/>
      <c r="H635" s="138" t="s">
        <v>46</v>
      </c>
      <c r="I635" s="371">
        <f ca="1">IFERROR(__xludf.DUMMYFUNCTION("IMPORTRANGE(""https://docs.google.com/spreadsheets/d/1eHaY18a8A9IcSdp1K8H6x8fbOy06t2VsZHhMHf-1x7Y/edit?usp=sharing"",""แผน!IE82"")"),0)</f>
        <v>0</v>
      </c>
      <c r="J635" s="371">
        <f>J636</f>
        <v>0</v>
      </c>
      <c r="K635" s="133">
        <f ca="1">IF(I635&gt;0,J635*100/I635,0)</f>
        <v>0</v>
      </c>
      <c r="L635" s="619"/>
      <c r="M635" s="137"/>
      <c r="N635" s="137"/>
      <c r="O635" s="137"/>
      <c r="P635" s="137"/>
      <c r="Q635" s="137"/>
      <c r="R635" s="137"/>
      <c r="S635" s="137"/>
      <c r="T635" s="137"/>
      <c r="U635" s="137"/>
    </row>
    <row r="636" spans="1:21" ht="18.75" x14ac:dyDescent="0.25">
      <c r="A636" s="139"/>
      <c r="B636" s="140"/>
      <c r="C636" s="140"/>
      <c r="D636" s="140"/>
      <c r="E636" s="303" t="s">
        <v>240</v>
      </c>
      <c r="F636" s="170"/>
      <c r="G636" s="144"/>
      <c r="H636" s="138" t="s">
        <v>46</v>
      </c>
      <c r="I636" s="45"/>
      <c r="J636" s="372">
        <f>J637+J638</f>
        <v>0</v>
      </c>
      <c r="K636" s="46"/>
      <c r="L636" s="619"/>
      <c r="M636" s="137"/>
      <c r="N636" s="137"/>
      <c r="O636" s="137"/>
      <c r="P636" s="137"/>
      <c r="Q636" s="137"/>
      <c r="R636" s="137"/>
      <c r="S636" s="137"/>
      <c r="T636" s="137"/>
      <c r="U636" s="137"/>
    </row>
    <row r="637" spans="1:21" ht="18.75" x14ac:dyDescent="0.25">
      <c r="A637" s="139"/>
      <c r="B637" s="140"/>
      <c r="C637" s="140"/>
      <c r="D637" s="140"/>
      <c r="E637" s="170"/>
      <c r="F637" s="303" t="s">
        <v>237</v>
      </c>
      <c r="G637" s="144"/>
      <c r="H637" s="138" t="s">
        <v>46</v>
      </c>
      <c r="I637" s="45"/>
      <c r="J637" s="169">
        <v>0</v>
      </c>
      <c r="K637" s="46"/>
      <c r="L637" s="619"/>
      <c r="M637" s="137"/>
      <c r="N637" s="137"/>
      <c r="O637" s="137"/>
      <c r="P637" s="137"/>
      <c r="Q637" s="137"/>
      <c r="R637" s="137"/>
      <c r="S637" s="137"/>
      <c r="T637" s="137"/>
      <c r="U637" s="137"/>
    </row>
    <row r="638" spans="1:21" ht="18.75" x14ac:dyDescent="0.25">
      <c r="A638" s="139"/>
      <c r="B638" s="140"/>
      <c r="C638" s="140"/>
      <c r="D638" s="140"/>
      <c r="E638" s="170"/>
      <c r="F638" s="303" t="s">
        <v>238</v>
      </c>
      <c r="G638" s="144"/>
      <c r="H638" s="138" t="s">
        <v>46</v>
      </c>
      <c r="I638" s="45"/>
      <c r="J638" s="169">
        <v>0</v>
      </c>
      <c r="K638" s="46"/>
      <c r="L638" s="619"/>
      <c r="M638" s="137"/>
      <c r="N638" s="137"/>
      <c r="O638" s="137"/>
      <c r="P638" s="137"/>
      <c r="Q638" s="137"/>
      <c r="R638" s="137"/>
      <c r="S638" s="137"/>
      <c r="T638" s="137"/>
      <c r="U638" s="137"/>
    </row>
    <row r="639" spans="1:21" ht="18.75" x14ac:dyDescent="0.25">
      <c r="A639" s="139"/>
      <c r="B639" s="140"/>
      <c r="C639" s="140"/>
      <c r="D639" s="140"/>
      <c r="E639" s="303" t="s">
        <v>241</v>
      </c>
      <c r="F639" s="170"/>
      <c r="G639" s="144"/>
      <c r="H639" s="138" t="s">
        <v>46</v>
      </c>
      <c r="I639" s="45"/>
      <c r="J639" s="169">
        <v>0</v>
      </c>
      <c r="K639" s="46"/>
      <c r="L639" s="619"/>
      <c r="M639" s="137"/>
      <c r="N639" s="137"/>
      <c r="O639" s="137"/>
      <c r="P639" s="137"/>
      <c r="Q639" s="137"/>
      <c r="R639" s="137"/>
      <c r="S639" s="137"/>
      <c r="T639" s="137"/>
      <c r="U639" s="137"/>
    </row>
    <row r="640" spans="1:21" ht="18.75" x14ac:dyDescent="0.25">
      <c r="A640" s="139"/>
      <c r="B640" s="140"/>
      <c r="C640" s="140"/>
      <c r="D640" s="140"/>
      <c r="E640" s="170"/>
      <c r="F640" s="303" t="s">
        <v>242</v>
      </c>
      <c r="G640" s="144"/>
      <c r="H640" s="138" t="s">
        <v>46</v>
      </c>
      <c r="I640" s="45"/>
      <c r="J640" s="169">
        <v>0</v>
      </c>
      <c r="K640" s="46"/>
      <c r="L640" s="619"/>
      <c r="M640" s="137"/>
      <c r="N640" s="137"/>
      <c r="O640" s="137"/>
      <c r="P640" s="137"/>
      <c r="Q640" s="137"/>
      <c r="R640" s="137"/>
      <c r="S640" s="137"/>
      <c r="T640" s="137"/>
      <c r="U640" s="137"/>
    </row>
    <row r="641" spans="1:21" ht="19.5" hidden="1" x14ac:dyDescent="0.3">
      <c r="A641" s="747"/>
      <c r="B641" s="484" t="s">
        <v>243</v>
      </c>
      <c r="C641" s="483"/>
      <c r="D641" s="485"/>
      <c r="E641" s="485"/>
      <c r="F641" s="485"/>
      <c r="G641" s="486"/>
      <c r="H641" s="494"/>
      <c r="I641" s="495"/>
      <c r="J641" s="495"/>
      <c r="K641" s="490"/>
      <c r="L641" s="750"/>
      <c r="M641" s="490"/>
      <c r="N641" s="490"/>
      <c r="O641" s="490"/>
      <c r="P641" s="490"/>
      <c r="Q641" s="490"/>
      <c r="R641" s="490"/>
      <c r="S641" s="490"/>
      <c r="T641" s="490"/>
      <c r="U641" s="490"/>
    </row>
    <row r="642" spans="1:21" ht="19.5" hidden="1" x14ac:dyDescent="0.3">
      <c r="A642" s="129"/>
      <c r="B642" s="160"/>
      <c r="C642" s="496" t="s">
        <v>18</v>
      </c>
      <c r="D642" s="838" t="s">
        <v>19</v>
      </c>
      <c r="E642" s="552"/>
      <c r="F642" s="552"/>
      <c r="G642" s="553"/>
      <c r="H642" s="240" t="s">
        <v>14</v>
      </c>
      <c r="I642" s="45"/>
      <c r="J642" s="45"/>
      <c r="K642" s="46"/>
      <c r="L642" s="617">
        <f t="shared" ref="L642:N642" si="398">L643+L644</f>
        <v>0</v>
      </c>
      <c r="M642" s="133">
        <f t="shared" si="398"/>
        <v>0</v>
      </c>
      <c r="N642" s="133">
        <f t="shared" si="398"/>
        <v>0</v>
      </c>
      <c r="O642" s="133">
        <f t="shared" ref="O642:O650" si="399">IF(L642&gt;0,N642*100/L642,0)</f>
        <v>0</v>
      </c>
      <c r="P642" s="133">
        <f t="shared" ref="P642:P650" si="400">IF(M642&gt;0,N642*100/M642,0)</f>
        <v>0</v>
      </c>
      <c r="Q642" s="133">
        <f t="shared" ref="Q642:S642" ca="1" si="401">Q643+Q644</f>
        <v>0</v>
      </c>
      <c r="R642" s="133">
        <f t="shared" ca="1" si="401"/>
        <v>0</v>
      </c>
      <c r="S642" s="133">
        <f t="shared" ca="1" si="401"/>
        <v>0</v>
      </c>
      <c r="T642" s="133">
        <f t="shared" ref="T642:T650" ca="1" si="402">IF(Q642&gt;0,S642*100/Q642,0)</f>
        <v>0</v>
      </c>
      <c r="U642" s="133">
        <f t="shared" ref="U642:U650" ca="1" si="403">IF(R642&gt;0,S642*100/R642,0)</f>
        <v>0</v>
      </c>
    </row>
    <row r="643" spans="1:21" ht="18.75" hidden="1" x14ac:dyDescent="0.25">
      <c r="A643" s="129"/>
      <c r="B643" s="160"/>
      <c r="C643" s="160"/>
      <c r="D643" s="170"/>
      <c r="E643" s="158" t="s">
        <v>162</v>
      </c>
      <c r="F643" s="200"/>
      <c r="G643" s="43"/>
      <c r="H643" s="161" t="s">
        <v>14</v>
      </c>
      <c r="I643" s="45"/>
      <c r="J643" s="45"/>
      <c r="K643" s="46"/>
      <c r="L643" s="590">
        <f t="shared" ref="L643:N644" si="404">L646+L649</f>
        <v>0</v>
      </c>
      <c r="M643" s="49">
        <f t="shared" si="404"/>
        <v>0</v>
      </c>
      <c r="N643" s="49">
        <f t="shared" si="404"/>
        <v>0</v>
      </c>
      <c r="O643" s="49">
        <f t="shared" si="399"/>
        <v>0</v>
      </c>
      <c r="P643" s="49">
        <f t="shared" si="400"/>
        <v>0</v>
      </c>
      <c r="Q643" s="49">
        <f t="shared" ref="Q643:S644" si="405">Q646+Q649</f>
        <v>0</v>
      </c>
      <c r="R643" s="49">
        <f t="shared" si="405"/>
        <v>0</v>
      </c>
      <c r="S643" s="49">
        <f t="shared" si="405"/>
        <v>0</v>
      </c>
      <c r="T643" s="49">
        <f t="shared" si="402"/>
        <v>0</v>
      </c>
      <c r="U643" s="49">
        <f t="shared" si="403"/>
        <v>0</v>
      </c>
    </row>
    <row r="644" spans="1:21" ht="18.75" hidden="1" x14ac:dyDescent="0.25">
      <c r="A644" s="129"/>
      <c r="B644" s="160"/>
      <c r="C644" s="160"/>
      <c r="D644" s="170"/>
      <c r="E644" s="271" t="s">
        <v>163</v>
      </c>
      <c r="F644" s="200"/>
      <c r="G644" s="43"/>
      <c r="H644" s="135" t="s">
        <v>14</v>
      </c>
      <c r="I644" s="45"/>
      <c r="J644" s="45"/>
      <c r="K644" s="46"/>
      <c r="L644" s="588">
        <f t="shared" si="404"/>
        <v>0</v>
      </c>
      <c r="M644" s="47">
        <f t="shared" si="404"/>
        <v>0</v>
      </c>
      <c r="N644" s="47">
        <f t="shared" si="404"/>
        <v>0</v>
      </c>
      <c r="O644" s="47">
        <f t="shared" si="399"/>
        <v>0</v>
      </c>
      <c r="P644" s="47">
        <f t="shared" si="400"/>
        <v>0</v>
      </c>
      <c r="Q644" s="47">
        <f t="shared" ca="1" si="405"/>
        <v>0</v>
      </c>
      <c r="R644" s="47">
        <f t="shared" ca="1" si="405"/>
        <v>0</v>
      </c>
      <c r="S644" s="47">
        <f t="shared" ca="1" si="405"/>
        <v>0</v>
      </c>
      <c r="T644" s="47">
        <f t="shared" ca="1" si="402"/>
        <v>0</v>
      </c>
      <c r="U644" s="47">
        <f t="shared" ca="1" si="403"/>
        <v>0</v>
      </c>
    </row>
    <row r="645" spans="1:21" ht="18.75" hidden="1" x14ac:dyDescent="0.25">
      <c r="A645" s="129"/>
      <c r="B645" s="160"/>
      <c r="C645" s="160"/>
      <c r="D645" s="42" t="s">
        <v>22</v>
      </c>
      <c r="E645" s="200"/>
      <c r="F645" s="200"/>
      <c r="G645" s="43"/>
      <c r="H645" s="135" t="s">
        <v>14</v>
      </c>
      <c r="I645" s="136"/>
      <c r="J645" s="136"/>
      <c r="K645" s="137"/>
      <c r="L645" s="588">
        <f t="shared" ref="L645:N645" si="406">L646+L647</f>
        <v>0</v>
      </c>
      <c r="M645" s="47">
        <f t="shared" si="406"/>
        <v>0</v>
      </c>
      <c r="N645" s="47">
        <f t="shared" si="406"/>
        <v>0</v>
      </c>
      <c r="O645" s="47">
        <f t="shared" si="399"/>
        <v>0</v>
      </c>
      <c r="P645" s="47">
        <f t="shared" si="400"/>
        <v>0</v>
      </c>
      <c r="Q645" s="47">
        <f t="shared" ref="Q645:S645" ca="1" si="407">Q646+Q647</f>
        <v>0</v>
      </c>
      <c r="R645" s="47">
        <f t="shared" ca="1" si="407"/>
        <v>0</v>
      </c>
      <c r="S645" s="47">
        <f t="shared" ca="1" si="407"/>
        <v>0</v>
      </c>
      <c r="T645" s="47">
        <f t="shared" ca="1" si="402"/>
        <v>0</v>
      </c>
      <c r="U645" s="47">
        <f t="shared" ca="1" si="403"/>
        <v>0</v>
      </c>
    </row>
    <row r="646" spans="1:21" ht="18.75" hidden="1" x14ac:dyDescent="0.25">
      <c r="A646" s="129"/>
      <c r="B646" s="160"/>
      <c r="C646" s="160"/>
      <c r="D646" s="170"/>
      <c r="E646" s="158" t="s">
        <v>162</v>
      </c>
      <c r="F646" s="200"/>
      <c r="G646" s="43"/>
      <c r="H646" s="161" t="s">
        <v>14</v>
      </c>
      <c r="I646" s="45"/>
      <c r="J646" s="45"/>
      <c r="K646" s="46"/>
      <c r="L646" s="590">
        <v>0</v>
      </c>
      <c r="M646" s="49">
        <v>0</v>
      </c>
      <c r="N646" s="49">
        <v>0</v>
      </c>
      <c r="O646" s="49">
        <f t="shared" si="399"/>
        <v>0</v>
      </c>
      <c r="P646" s="49">
        <f t="shared" si="400"/>
        <v>0</v>
      </c>
      <c r="Q646" s="49">
        <v>0</v>
      </c>
      <c r="R646" s="49">
        <v>0</v>
      </c>
      <c r="S646" s="49">
        <v>0</v>
      </c>
      <c r="T646" s="49">
        <f t="shared" si="402"/>
        <v>0</v>
      </c>
      <c r="U646" s="49">
        <f t="shared" si="403"/>
        <v>0</v>
      </c>
    </row>
    <row r="647" spans="1:21" ht="18.75" hidden="1" x14ac:dyDescent="0.25">
      <c r="A647" s="129"/>
      <c r="B647" s="160"/>
      <c r="C647" s="160"/>
      <c r="D647" s="170"/>
      <c r="E647" s="271" t="s">
        <v>163</v>
      </c>
      <c r="F647" s="200"/>
      <c r="G647" s="43"/>
      <c r="H647" s="135" t="s">
        <v>14</v>
      </c>
      <c r="I647" s="45"/>
      <c r="J647" s="45"/>
      <c r="K647" s="46"/>
      <c r="L647" s="588">
        <v>0</v>
      </c>
      <c r="M647" s="47">
        <v>0</v>
      </c>
      <c r="N647" s="47">
        <v>0</v>
      </c>
      <c r="O647" s="47">
        <f t="shared" si="399"/>
        <v>0</v>
      </c>
      <c r="P647" s="47">
        <f t="shared" si="400"/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t="shared" ca="1" si="402"/>
        <v>0</v>
      </c>
      <c r="U647" s="47">
        <f t="shared" ca="1" si="403"/>
        <v>0</v>
      </c>
    </row>
    <row r="648" spans="1:21" ht="18.75" hidden="1" x14ac:dyDescent="0.25">
      <c r="A648" s="129"/>
      <c r="B648" s="160"/>
      <c r="C648" s="160"/>
      <c r="D648" s="42" t="s">
        <v>23</v>
      </c>
      <c r="E648" s="200"/>
      <c r="F648" s="200"/>
      <c r="G648" s="43"/>
      <c r="H648" s="138" t="s">
        <v>14</v>
      </c>
      <c r="I648" s="136"/>
      <c r="J648" s="136"/>
      <c r="K648" s="137"/>
      <c r="L648" s="588">
        <f t="shared" ref="L648:N648" si="408">L649+L650</f>
        <v>0</v>
      </c>
      <c r="M648" s="47">
        <f t="shared" si="408"/>
        <v>0</v>
      </c>
      <c r="N648" s="47">
        <f t="shared" si="408"/>
        <v>0</v>
      </c>
      <c r="O648" s="47">
        <f t="shared" si="399"/>
        <v>0</v>
      </c>
      <c r="P648" s="47">
        <f t="shared" si="400"/>
        <v>0</v>
      </c>
      <c r="Q648" s="47">
        <f t="shared" ref="Q648:S648" si="409">Q649+Q650</f>
        <v>0</v>
      </c>
      <c r="R648" s="47">
        <f t="shared" si="409"/>
        <v>0</v>
      </c>
      <c r="S648" s="47">
        <f t="shared" si="409"/>
        <v>0</v>
      </c>
      <c r="T648" s="47">
        <f t="shared" si="402"/>
        <v>0</v>
      </c>
      <c r="U648" s="47">
        <f t="shared" si="403"/>
        <v>0</v>
      </c>
    </row>
    <row r="649" spans="1:21" ht="18.75" hidden="1" x14ac:dyDescent="0.25">
      <c r="A649" s="129"/>
      <c r="B649" s="160"/>
      <c r="C649" s="160"/>
      <c r="D649" s="200"/>
      <c r="E649" s="158" t="s">
        <v>20</v>
      </c>
      <c r="F649" s="200"/>
      <c r="G649" s="43"/>
      <c r="H649" s="161" t="s">
        <v>14</v>
      </c>
      <c r="I649" s="136"/>
      <c r="J649" s="136"/>
      <c r="K649" s="137"/>
      <c r="L649" s="590">
        <v>0</v>
      </c>
      <c r="M649" s="49">
        <v>0</v>
      </c>
      <c r="N649" s="49">
        <v>0</v>
      </c>
      <c r="O649" s="49">
        <f t="shared" si="399"/>
        <v>0</v>
      </c>
      <c r="P649" s="49">
        <f t="shared" si="400"/>
        <v>0</v>
      </c>
      <c r="Q649" s="49">
        <v>0</v>
      </c>
      <c r="R649" s="49">
        <v>0</v>
      </c>
      <c r="S649" s="49">
        <v>0</v>
      </c>
      <c r="T649" s="49">
        <f t="shared" si="402"/>
        <v>0</v>
      </c>
      <c r="U649" s="49">
        <f t="shared" si="403"/>
        <v>0</v>
      </c>
    </row>
    <row r="650" spans="1:21" ht="18.75" hidden="1" x14ac:dyDescent="0.25">
      <c r="A650" s="129"/>
      <c r="B650" s="160"/>
      <c r="C650" s="160"/>
      <c r="D650" s="200"/>
      <c r="E650" s="271" t="s">
        <v>21</v>
      </c>
      <c r="F650" s="200"/>
      <c r="G650" s="43"/>
      <c r="H650" s="138" t="s">
        <v>14</v>
      </c>
      <c r="I650" s="136"/>
      <c r="J650" s="136"/>
      <c r="K650" s="137"/>
      <c r="L650" s="588">
        <v>0</v>
      </c>
      <c r="M650" s="47">
        <v>0</v>
      </c>
      <c r="N650" s="47">
        <v>0</v>
      </c>
      <c r="O650" s="47">
        <f t="shared" si="399"/>
        <v>0</v>
      </c>
      <c r="P650" s="47">
        <f t="shared" si="400"/>
        <v>0</v>
      </c>
      <c r="Q650" s="47">
        <v>0</v>
      </c>
      <c r="R650" s="47">
        <v>0</v>
      </c>
      <c r="S650" s="47">
        <v>0</v>
      </c>
      <c r="T650" s="47">
        <f t="shared" si="402"/>
        <v>0</v>
      </c>
      <c r="U650" s="47">
        <f t="shared" si="403"/>
        <v>0</v>
      </c>
    </row>
    <row r="651" spans="1:21" ht="19.5" hidden="1" x14ac:dyDescent="0.3">
      <c r="A651" s="139"/>
      <c r="B651" s="140"/>
      <c r="C651" s="496" t="s">
        <v>18</v>
      </c>
      <c r="D651" s="840" t="s">
        <v>38</v>
      </c>
      <c r="E651" s="142"/>
      <c r="F651" s="142"/>
      <c r="G651" s="143"/>
      <c r="H651" s="192"/>
      <c r="I651" s="136"/>
      <c r="J651" s="136"/>
      <c r="K651" s="137"/>
      <c r="L651" s="619"/>
      <c r="M651" s="137"/>
      <c r="N651" s="137"/>
      <c r="O651" s="137"/>
      <c r="P651" s="137"/>
      <c r="Q651" s="46"/>
      <c r="R651" s="46"/>
      <c r="S651" s="46"/>
      <c r="T651" s="137"/>
      <c r="U651" s="137"/>
    </row>
    <row r="652" spans="1:21" ht="18.75" hidden="1" x14ac:dyDescent="0.25">
      <c r="A652" s="225"/>
      <c r="B652" s="160"/>
      <c r="C652" s="160"/>
      <c r="D652" s="271" t="s">
        <v>244</v>
      </c>
      <c r="E652" s="200"/>
      <c r="F652" s="200"/>
      <c r="G652" s="43"/>
      <c r="H652" s="138" t="s">
        <v>46</v>
      </c>
      <c r="I652" s="498">
        <f ca="1">IFERROR(__xludf.DUMMYFUNCTION("IMPORTRANGE(""https://docs.google.com/spreadsheets/d/1eHaY18a8A9IcSdp1K8H6x8fbOy06t2VsZHhMHf-1x7Y/edit?usp=sharing"",""แผน!IF82"")"),0)</f>
        <v>0</v>
      </c>
      <c r="J652" s="37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t="shared" ref="K652:K654" ca="1" si="410">IF(I652&gt;0,J652*100/I652,0)</f>
        <v>0</v>
      </c>
      <c r="L652" s="591"/>
      <c r="M652" s="46"/>
      <c r="N652" s="500"/>
      <c r="O652" s="46"/>
      <c r="P652" s="46"/>
      <c r="Q652" s="46"/>
      <c r="R652" s="46"/>
      <c r="S652" s="500"/>
      <c r="T652" s="46"/>
      <c r="U652" s="46"/>
    </row>
    <row r="653" spans="1:21" ht="18.75" hidden="1" x14ac:dyDescent="0.25">
      <c r="A653" s="225"/>
      <c r="B653" s="160"/>
      <c r="C653" s="160"/>
      <c r="D653" s="271" t="s">
        <v>245</v>
      </c>
      <c r="E653" s="200"/>
      <c r="F653" s="200"/>
      <c r="G653" s="43"/>
      <c r="H653" s="138" t="s">
        <v>35</v>
      </c>
      <c r="I653" s="498">
        <f ca="1">IFERROR(__xludf.DUMMYFUNCTION("IMPORTRANGE(""https://docs.google.com/spreadsheets/d/1eHaY18a8A9IcSdp1K8H6x8fbOy06t2VsZHhMHf-1x7Y/edit?usp=sharing"",""แผน!IG82"")"),0)</f>
        <v>0</v>
      </c>
      <c r="J653" s="37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t="shared" ca="1" si="410"/>
        <v>0</v>
      </c>
      <c r="L653" s="591"/>
      <c r="M653" s="46"/>
      <c r="N653" s="500"/>
      <c r="O653" s="46"/>
      <c r="P653" s="46"/>
      <c r="Q653" s="46"/>
      <c r="R653" s="46"/>
      <c r="S653" s="500"/>
      <c r="T653" s="46"/>
      <c r="U653" s="46"/>
    </row>
    <row r="654" spans="1:21" ht="19.5" hidden="1" x14ac:dyDescent="0.3">
      <c r="A654" s="225"/>
      <c r="B654" s="160"/>
      <c r="C654" s="160"/>
      <c r="D654" s="271" t="s">
        <v>246</v>
      </c>
      <c r="E654" s="200"/>
      <c r="F654" s="200"/>
      <c r="G654" s="43"/>
      <c r="H654" s="493" t="s">
        <v>46</v>
      </c>
      <c r="I654" s="499">
        <f ca="1">IFERROR(__xludf.DUMMYFUNCTION("IMPORTRANGE(""https://docs.google.com/spreadsheets/d/1eHaY18a8A9IcSdp1K8H6x8fbOy06t2VsZHhMHf-1x7Y/edit?usp=sharing"",""แผน!IH82"")"),0)</f>
        <v>0</v>
      </c>
      <c r="J654" s="371">
        <f>J657+J660</f>
        <v>0</v>
      </c>
      <c r="K654" s="133">
        <f t="shared" ca="1" si="410"/>
        <v>0</v>
      </c>
      <c r="L654" s="591"/>
      <c r="M654" s="46"/>
      <c r="N654" s="500"/>
      <c r="O654" s="46"/>
      <c r="P654" s="46"/>
      <c r="Q654" s="46"/>
      <c r="R654" s="46"/>
      <c r="S654" s="500"/>
      <c r="T654" s="46"/>
      <c r="U654" s="46"/>
    </row>
    <row r="655" spans="1:21" ht="18.75" hidden="1" x14ac:dyDescent="0.25">
      <c r="A655" s="225"/>
      <c r="B655" s="160"/>
      <c r="C655" s="160"/>
      <c r="D655" s="200"/>
      <c r="E655" s="271" t="s">
        <v>247</v>
      </c>
      <c r="F655" s="200"/>
      <c r="G655" s="43"/>
      <c r="H655" s="138" t="s">
        <v>35</v>
      </c>
      <c r="I655" s="194"/>
      <c r="J655" s="169">
        <v>0</v>
      </c>
      <c r="K655" s="46"/>
      <c r="L655" s="591"/>
      <c r="M655" s="46"/>
      <c r="N655" s="500"/>
      <c r="O655" s="46"/>
      <c r="P655" s="46"/>
      <c r="Q655" s="46"/>
      <c r="R655" s="46"/>
      <c r="S655" s="500"/>
      <c r="T655" s="46"/>
      <c r="U655" s="46"/>
    </row>
    <row r="656" spans="1:21" ht="18.75" hidden="1" x14ac:dyDescent="0.25">
      <c r="A656" s="225"/>
      <c r="B656" s="160"/>
      <c r="C656" s="160"/>
      <c r="D656" s="200"/>
      <c r="E656" s="200"/>
      <c r="F656" s="200"/>
      <c r="G656" s="43"/>
      <c r="H656" s="138" t="s">
        <v>34</v>
      </c>
      <c r="I656" s="194"/>
      <c r="J656" s="169">
        <v>0</v>
      </c>
      <c r="K656" s="46"/>
      <c r="L656" s="591"/>
      <c r="M656" s="46"/>
      <c r="N656" s="500"/>
      <c r="O656" s="46"/>
      <c r="P656" s="46"/>
      <c r="Q656" s="46"/>
      <c r="R656" s="46"/>
      <c r="S656" s="500"/>
      <c r="T656" s="46"/>
      <c r="U656" s="46"/>
    </row>
    <row r="657" spans="1:21" ht="18.75" hidden="1" x14ac:dyDescent="0.25">
      <c r="A657" s="225"/>
      <c r="B657" s="160"/>
      <c r="C657" s="160"/>
      <c r="D657" s="200"/>
      <c r="E657" s="200"/>
      <c r="F657" s="200"/>
      <c r="G657" s="43"/>
      <c r="H657" s="138" t="s">
        <v>46</v>
      </c>
      <c r="I657" s="498">
        <f ca="1">IFERROR(__xludf.DUMMYFUNCTION("IMPORTRANGE(""https://docs.google.com/spreadsheets/d/1eHaY18a8A9IcSdp1K8H6x8fbOy06t2VsZHhMHf-1x7Y/edit?usp=sharing"",""แผน!II82"")"),0)</f>
        <v>0</v>
      </c>
      <c r="J657" s="169">
        <v>0</v>
      </c>
      <c r="K657" s="46"/>
      <c r="L657" s="591"/>
      <c r="M657" s="46"/>
      <c r="N657" s="500"/>
      <c r="O657" s="46"/>
      <c r="P657" s="46"/>
      <c r="Q657" s="46"/>
      <c r="R657" s="46"/>
      <c r="S657" s="500"/>
      <c r="T657" s="46"/>
      <c r="U657" s="46"/>
    </row>
    <row r="658" spans="1:21" ht="18.75" hidden="1" x14ac:dyDescent="0.25">
      <c r="A658" s="225"/>
      <c r="B658" s="160"/>
      <c r="C658" s="160"/>
      <c r="D658" s="200"/>
      <c r="E658" s="271" t="s">
        <v>248</v>
      </c>
      <c r="F658" s="200"/>
      <c r="G658" s="43"/>
      <c r="H658" s="138" t="s">
        <v>35</v>
      </c>
      <c r="I658" s="194"/>
      <c r="J658" s="169">
        <v>0</v>
      </c>
      <c r="K658" s="46"/>
      <c r="L658" s="591"/>
      <c r="M658" s="46"/>
      <c r="N658" s="500"/>
      <c r="O658" s="46"/>
      <c r="P658" s="46"/>
      <c r="Q658" s="46"/>
      <c r="R658" s="46"/>
      <c r="S658" s="500"/>
      <c r="T658" s="46"/>
      <c r="U658" s="46"/>
    </row>
    <row r="659" spans="1:21" ht="18.75" hidden="1" x14ac:dyDescent="0.25">
      <c r="A659" s="225"/>
      <c r="B659" s="160"/>
      <c r="C659" s="160"/>
      <c r="D659" s="200"/>
      <c r="E659" s="200"/>
      <c r="F659" s="200"/>
      <c r="G659" s="43"/>
      <c r="H659" s="138" t="s">
        <v>34</v>
      </c>
      <c r="I659" s="194"/>
      <c r="J659" s="169">
        <v>0</v>
      </c>
      <c r="K659" s="46"/>
      <c r="L659" s="591"/>
      <c r="M659" s="46"/>
      <c r="N659" s="500"/>
      <c r="O659" s="46"/>
      <c r="P659" s="46"/>
      <c r="Q659" s="46"/>
      <c r="R659" s="46"/>
      <c r="S659" s="500"/>
      <c r="T659" s="46"/>
      <c r="U659" s="46"/>
    </row>
    <row r="660" spans="1:21" ht="18.75" hidden="1" x14ac:dyDescent="0.25">
      <c r="A660" s="225"/>
      <c r="B660" s="160"/>
      <c r="C660" s="160"/>
      <c r="D660" s="200"/>
      <c r="E660" s="200"/>
      <c r="F660" s="200"/>
      <c r="G660" s="43"/>
      <c r="H660" s="138" t="s">
        <v>46</v>
      </c>
      <c r="I660" s="498">
        <f ca="1">IFERROR(__xludf.DUMMYFUNCTION("IMPORTRANGE(""https://docs.google.com/spreadsheets/d/1eHaY18a8A9IcSdp1K8H6x8fbOy06t2VsZHhMHf-1x7Y/edit?usp=sharing"",""แผน!IJ82"")"),0)</f>
        <v>0</v>
      </c>
      <c r="J660" s="169">
        <v>0</v>
      </c>
      <c r="K660" s="46"/>
      <c r="L660" s="591"/>
      <c r="M660" s="46"/>
      <c r="N660" s="500"/>
      <c r="O660" s="46"/>
      <c r="P660" s="46"/>
      <c r="Q660" s="46"/>
      <c r="R660" s="46"/>
      <c r="S660" s="500"/>
      <c r="T660" s="46"/>
      <c r="U660" s="46"/>
    </row>
    <row r="661" spans="1:21" ht="19.5" hidden="1" x14ac:dyDescent="0.3">
      <c r="A661" s="225"/>
      <c r="B661" s="160"/>
      <c r="C661" s="160"/>
      <c r="D661" s="376" t="s">
        <v>249</v>
      </c>
      <c r="E661" s="200"/>
      <c r="F661" s="200"/>
      <c r="G661" s="43"/>
      <c r="H661" s="493" t="s">
        <v>46</v>
      </c>
      <c r="I661" s="499">
        <f ca="1">IFERROR(__xludf.DUMMYFUNCTION("IMPORTRANGE(""https://docs.google.com/spreadsheets/d/1eHaY18a8A9IcSdp1K8H6x8fbOy06t2VsZHhMHf-1x7Y/edit?usp=sharing"",""แผน!IK82"")"),0)</f>
        <v>0</v>
      </c>
      <c r="J661" s="371">
        <f>J667+J670</f>
        <v>0</v>
      </c>
      <c r="K661" s="133">
        <f ca="1">IF(I661&gt;0,J661*100/I661,0)</f>
        <v>0</v>
      </c>
      <c r="L661" s="591"/>
      <c r="M661" s="46"/>
      <c r="N661" s="500"/>
      <c r="O661" s="46"/>
      <c r="P661" s="46"/>
      <c r="Q661" s="46"/>
      <c r="R661" s="46"/>
      <c r="S661" s="500"/>
      <c r="T661" s="46"/>
      <c r="U661" s="46"/>
    </row>
    <row r="662" spans="1:21" ht="18.75" hidden="1" x14ac:dyDescent="0.25">
      <c r="A662" s="225"/>
      <c r="B662" s="160"/>
      <c r="C662" s="160"/>
      <c r="D662" s="200"/>
      <c r="E662" s="271" t="s">
        <v>250</v>
      </c>
      <c r="F662" s="200"/>
      <c r="G662" s="43"/>
      <c r="H662" s="138" t="s">
        <v>34</v>
      </c>
      <c r="I662" s="194"/>
      <c r="J662" s="169">
        <v>0</v>
      </c>
      <c r="K662" s="46"/>
      <c r="L662" s="841"/>
      <c r="M662" s="46"/>
      <c r="N662" s="500"/>
      <c r="O662" s="46"/>
      <c r="P662" s="46"/>
      <c r="Q662" s="500"/>
      <c r="R662" s="46"/>
      <c r="S662" s="500"/>
      <c r="T662" s="46"/>
      <c r="U662" s="46"/>
    </row>
    <row r="663" spans="1:21" ht="18.75" hidden="1" x14ac:dyDescent="0.25">
      <c r="A663" s="225"/>
      <c r="B663" s="160"/>
      <c r="C663" s="160"/>
      <c r="D663" s="200"/>
      <c r="E663" s="200"/>
      <c r="F663" s="200"/>
      <c r="G663" s="43"/>
      <c r="H663" s="138" t="s">
        <v>46</v>
      </c>
      <c r="I663" s="194"/>
      <c r="J663" s="169">
        <v>0</v>
      </c>
      <c r="K663" s="46"/>
      <c r="L663" s="841"/>
      <c r="M663" s="46"/>
      <c r="N663" s="500"/>
      <c r="O663" s="46"/>
      <c r="P663" s="46"/>
      <c r="Q663" s="500"/>
      <c r="R663" s="46"/>
      <c r="S663" s="500"/>
      <c r="T663" s="46"/>
      <c r="U663" s="46"/>
    </row>
    <row r="664" spans="1:21" ht="18.75" hidden="1" x14ac:dyDescent="0.25">
      <c r="A664" s="225"/>
      <c r="B664" s="160"/>
      <c r="C664" s="160"/>
      <c r="D664" s="200"/>
      <c r="E664" s="271" t="s">
        <v>251</v>
      </c>
      <c r="F664" s="200"/>
      <c r="G664" s="43"/>
      <c r="H664" s="192"/>
      <c r="I664" s="194"/>
      <c r="J664" s="45"/>
      <c r="K664" s="46"/>
      <c r="L664" s="841"/>
      <c r="M664" s="46"/>
      <c r="N664" s="500"/>
      <c r="O664" s="46"/>
      <c r="P664" s="46"/>
      <c r="Q664" s="500"/>
      <c r="R664" s="46"/>
      <c r="S664" s="500"/>
      <c r="T664" s="46"/>
      <c r="U664" s="46"/>
    </row>
    <row r="665" spans="1:21" ht="18.75" hidden="1" x14ac:dyDescent="0.25">
      <c r="A665" s="225"/>
      <c r="B665" s="160"/>
      <c r="C665" s="160"/>
      <c r="D665" s="200"/>
      <c r="E665" s="200"/>
      <c r="F665" s="271" t="s">
        <v>252</v>
      </c>
      <c r="G665" s="43"/>
      <c r="H665" s="138" t="s">
        <v>35</v>
      </c>
      <c r="I665" s="194"/>
      <c r="J665" s="169">
        <v>0</v>
      </c>
      <c r="K665" s="46"/>
      <c r="L665" s="841"/>
      <c r="M665" s="46"/>
      <c r="N665" s="500"/>
      <c r="O665" s="46"/>
      <c r="P665" s="46"/>
      <c r="Q665" s="500"/>
      <c r="R665" s="46"/>
      <c r="S665" s="500"/>
      <c r="T665" s="46"/>
      <c r="U665" s="46"/>
    </row>
    <row r="666" spans="1:21" ht="18.75" hidden="1" x14ac:dyDescent="0.25">
      <c r="A666" s="225"/>
      <c r="B666" s="160"/>
      <c r="C666" s="160"/>
      <c r="D666" s="200"/>
      <c r="E666" s="200"/>
      <c r="F666" s="200"/>
      <c r="G666" s="43"/>
      <c r="H666" s="138" t="s">
        <v>34</v>
      </c>
      <c r="I666" s="194"/>
      <c r="J666" s="169">
        <v>0</v>
      </c>
      <c r="K666" s="46"/>
      <c r="L666" s="841"/>
      <c r="M666" s="46"/>
      <c r="N666" s="500"/>
      <c r="O666" s="46"/>
      <c r="P666" s="46"/>
      <c r="Q666" s="500"/>
      <c r="R666" s="46"/>
      <c r="S666" s="500"/>
      <c r="T666" s="46"/>
      <c r="U666" s="46"/>
    </row>
    <row r="667" spans="1:21" ht="18.75" hidden="1" x14ac:dyDescent="0.25">
      <c r="A667" s="225"/>
      <c r="B667" s="160"/>
      <c r="C667" s="160"/>
      <c r="D667" s="200"/>
      <c r="E667" s="200"/>
      <c r="F667" s="200"/>
      <c r="G667" s="43"/>
      <c r="H667" s="138" t="s">
        <v>46</v>
      </c>
      <c r="I667" s="194"/>
      <c r="J667" s="169">
        <v>0</v>
      </c>
      <c r="K667" s="46"/>
      <c r="L667" s="841"/>
      <c r="M667" s="46"/>
      <c r="N667" s="500"/>
      <c r="O667" s="46"/>
      <c r="P667" s="46"/>
      <c r="Q667" s="500"/>
      <c r="R667" s="46"/>
      <c r="S667" s="500"/>
      <c r="T667" s="46"/>
      <c r="U667" s="46"/>
    </row>
    <row r="668" spans="1:21" ht="18.75" hidden="1" x14ac:dyDescent="0.25">
      <c r="A668" s="225"/>
      <c r="B668" s="160"/>
      <c r="C668" s="160"/>
      <c r="D668" s="200"/>
      <c r="E668" s="200"/>
      <c r="F668" s="271" t="s">
        <v>253</v>
      </c>
      <c r="G668" s="43"/>
      <c r="H668" s="138" t="s">
        <v>35</v>
      </c>
      <c r="I668" s="194"/>
      <c r="J668" s="169">
        <v>0</v>
      </c>
      <c r="K668" s="46"/>
      <c r="L668" s="841"/>
      <c r="M668" s="46"/>
      <c r="N668" s="500"/>
      <c r="O668" s="46"/>
      <c r="P668" s="46"/>
      <c r="Q668" s="500"/>
      <c r="R668" s="46"/>
      <c r="S668" s="500"/>
      <c r="T668" s="46"/>
      <c r="U668" s="46"/>
    </row>
    <row r="669" spans="1:21" ht="18.75" hidden="1" x14ac:dyDescent="0.25">
      <c r="A669" s="225"/>
      <c r="B669" s="160"/>
      <c r="C669" s="160"/>
      <c r="D669" s="200"/>
      <c r="E669" s="200"/>
      <c r="F669" s="200"/>
      <c r="G669" s="43"/>
      <c r="H669" s="138" t="s">
        <v>34</v>
      </c>
      <c r="I669" s="194"/>
      <c r="J669" s="169">
        <v>0</v>
      </c>
      <c r="K669" s="46"/>
      <c r="L669" s="841"/>
      <c r="M669" s="46"/>
      <c r="N669" s="500"/>
      <c r="O669" s="46"/>
      <c r="P669" s="46"/>
      <c r="Q669" s="500"/>
      <c r="R669" s="46"/>
      <c r="S669" s="500"/>
      <c r="T669" s="46"/>
      <c r="U669" s="46"/>
    </row>
    <row r="670" spans="1:21" ht="18.75" hidden="1" x14ac:dyDescent="0.25">
      <c r="A670" s="225"/>
      <c r="B670" s="160"/>
      <c r="C670" s="160"/>
      <c r="D670" s="200"/>
      <c r="E670" s="200"/>
      <c r="F670" s="200"/>
      <c r="G670" s="43"/>
      <c r="H670" s="138" t="s">
        <v>46</v>
      </c>
      <c r="I670" s="194"/>
      <c r="J670" s="169">
        <v>0</v>
      </c>
      <c r="K670" s="46"/>
      <c r="L670" s="841"/>
      <c r="M670" s="46"/>
      <c r="N670" s="500"/>
      <c r="O670" s="46"/>
      <c r="P670" s="46"/>
      <c r="Q670" s="500"/>
      <c r="R670" s="46"/>
      <c r="S670" s="500"/>
      <c r="T670" s="46"/>
      <c r="U670" s="46"/>
    </row>
    <row r="671" spans="1:21" ht="18.75" hidden="1" x14ac:dyDescent="0.25">
      <c r="A671" s="225"/>
      <c r="B671" s="160"/>
      <c r="C671" s="160"/>
      <c r="D671" s="271" t="s">
        <v>254</v>
      </c>
      <c r="E671" s="200"/>
      <c r="F671" s="200"/>
      <c r="G671" s="43"/>
      <c r="H671" s="138" t="s">
        <v>35</v>
      </c>
      <c r="I671" s="194"/>
      <c r="J671" s="37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591"/>
      <c r="M671" s="46"/>
      <c r="N671" s="500"/>
      <c r="O671" s="46"/>
      <c r="P671" s="46"/>
      <c r="Q671" s="46"/>
      <c r="R671" s="46"/>
      <c r="S671" s="500"/>
      <c r="T671" s="46"/>
      <c r="U671" s="46"/>
    </row>
    <row r="672" spans="1:21" ht="18.75" hidden="1" x14ac:dyDescent="0.25">
      <c r="A672" s="225"/>
      <c r="B672" s="160"/>
      <c r="C672" s="160"/>
      <c r="D672" s="200"/>
      <c r="E672" s="200"/>
      <c r="F672" s="200"/>
      <c r="G672" s="43"/>
      <c r="H672" s="138" t="s">
        <v>34</v>
      </c>
      <c r="I672" s="194"/>
      <c r="J672" s="37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841"/>
      <c r="M672" s="46"/>
      <c r="N672" s="500"/>
      <c r="O672" s="46"/>
      <c r="P672" s="46"/>
      <c r="Q672" s="500"/>
      <c r="R672" s="46"/>
      <c r="S672" s="500"/>
      <c r="T672" s="46"/>
      <c r="U672" s="46"/>
    </row>
    <row r="673" spans="1:21" ht="18.75" hidden="1" x14ac:dyDescent="0.25">
      <c r="A673" s="225"/>
      <c r="B673" s="160"/>
      <c r="C673" s="160"/>
      <c r="D673" s="200"/>
      <c r="E673" s="200"/>
      <c r="F673" s="200"/>
      <c r="G673" s="43"/>
      <c r="H673" s="138" t="s">
        <v>46</v>
      </c>
      <c r="I673" s="498">
        <f ca="1">IFERROR(__xludf.DUMMYFUNCTION("IMPORTRANGE(""https://docs.google.com/spreadsheets/d/1eHaY18a8A9IcSdp1K8H6x8fbOy06t2VsZHhMHf-1x7Y/edit?usp=sharing"",""แผน!IL82"")"),0)</f>
        <v>0</v>
      </c>
      <c r="J673" s="37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t="shared" ref="K673:K676" ca="1" si="411">IF(I673&gt;0,J673*100/I673,0)</f>
        <v>0</v>
      </c>
      <c r="L673" s="841"/>
      <c r="M673" s="46"/>
      <c r="N673" s="500"/>
      <c r="O673" s="46"/>
      <c r="P673" s="46"/>
      <c r="Q673" s="500"/>
      <c r="R673" s="46"/>
      <c r="S673" s="500"/>
      <c r="T673" s="46"/>
      <c r="U673" s="46"/>
    </row>
    <row r="674" spans="1:21" ht="19.5" hidden="1" x14ac:dyDescent="0.3">
      <c r="A674" s="225"/>
      <c r="B674" s="160"/>
      <c r="C674" s="160"/>
      <c r="D674" s="271" t="s">
        <v>255</v>
      </c>
      <c r="E674" s="200"/>
      <c r="F674" s="200"/>
      <c r="G674" s="43"/>
      <c r="H674" s="493" t="s">
        <v>35</v>
      </c>
      <c r="I674" s="499">
        <f ca="1">IFERROR(__xludf.DUMMYFUNCTION("IMPORTRANGE(""https://docs.google.com/spreadsheets/d/1eHaY18a8A9IcSdp1K8H6x8fbOy06t2VsZHhMHf-1x7Y/edit?usp=sharing"",""แผน!IM82"")"),0)</f>
        <v>0</v>
      </c>
      <c r="J674" s="371">
        <f ca="1">J676+J679</f>
        <v>0</v>
      </c>
      <c r="K674" s="133">
        <f t="shared" ca="1" si="411"/>
        <v>0</v>
      </c>
      <c r="L674" s="841"/>
      <c r="M674" s="46"/>
      <c r="N674" s="500"/>
      <c r="O674" s="46"/>
      <c r="P674" s="46"/>
      <c r="Q674" s="500"/>
      <c r="R674" s="46"/>
      <c r="S674" s="500"/>
      <c r="T674" s="46"/>
      <c r="U674" s="46"/>
    </row>
    <row r="675" spans="1:21" ht="19.5" hidden="1" x14ac:dyDescent="0.3">
      <c r="A675" s="225"/>
      <c r="B675" s="160"/>
      <c r="C675" s="160"/>
      <c r="D675" s="200"/>
      <c r="E675" s="200"/>
      <c r="F675" s="200"/>
      <c r="G675" s="43"/>
      <c r="H675" s="493" t="s">
        <v>46</v>
      </c>
      <c r="I675" s="499">
        <f ca="1">IFERROR(__xludf.DUMMYFUNCTION("IMPORTRANGE(""https://docs.google.com/spreadsheets/d/1eHaY18a8A9IcSdp1K8H6x8fbOy06t2VsZHhMHf-1x7Y/edit?usp=sharing"",""แผน!IN82"")"),0)</f>
        <v>0</v>
      </c>
      <c r="J675" s="371">
        <f ca="1">J678+J681</f>
        <v>0</v>
      </c>
      <c r="K675" s="133">
        <f t="shared" ca="1" si="411"/>
        <v>0</v>
      </c>
      <c r="L675" s="591"/>
      <c r="M675" s="46"/>
      <c r="N675" s="500"/>
      <c r="O675" s="46"/>
      <c r="P675" s="46"/>
      <c r="Q675" s="46"/>
      <c r="R675" s="46"/>
      <c r="S675" s="500"/>
      <c r="T675" s="46"/>
      <c r="U675" s="46"/>
    </row>
    <row r="676" spans="1:21" ht="18.75" hidden="1" x14ac:dyDescent="0.25">
      <c r="A676" s="225"/>
      <c r="B676" s="160"/>
      <c r="C676" s="160"/>
      <c r="D676" s="200"/>
      <c r="E676" s="271" t="s">
        <v>256</v>
      </c>
      <c r="F676" s="200"/>
      <c r="G676" s="43"/>
      <c r="H676" s="138" t="s">
        <v>35</v>
      </c>
      <c r="I676" s="498">
        <f ca="1">IFERROR(__xludf.DUMMYFUNCTION("IMPORTRANGE(""https://docs.google.com/spreadsheets/d/1eHaY18a8A9IcSdp1K8H6x8fbOy06t2VsZHhMHf-1x7Y/edit?usp=sharing"",""แผน!IO82"")"),0)</f>
        <v>0</v>
      </c>
      <c r="J676" s="37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t="shared" ca="1" si="411"/>
        <v>0</v>
      </c>
      <c r="L676" s="591"/>
      <c r="M676" s="46"/>
      <c r="N676" s="500"/>
      <c r="O676" s="46"/>
      <c r="P676" s="46"/>
      <c r="Q676" s="46"/>
      <c r="R676" s="46"/>
      <c r="S676" s="500"/>
      <c r="T676" s="46"/>
      <c r="U676" s="46"/>
    </row>
    <row r="677" spans="1:21" ht="18.75" hidden="1" x14ac:dyDescent="0.25">
      <c r="A677" s="225"/>
      <c r="B677" s="160"/>
      <c r="C677" s="160"/>
      <c r="D677" s="200"/>
      <c r="E677" s="200"/>
      <c r="F677" s="200"/>
      <c r="G677" s="43"/>
      <c r="H677" s="138" t="s">
        <v>34</v>
      </c>
      <c r="I677" s="194"/>
      <c r="J677" s="37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841"/>
      <c r="M677" s="46"/>
      <c r="N677" s="500"/>
      <c r="O677" s="46"/>
      <c r="P677" s="46"/>
      <c r="Q677" s="500"/>
      <c r="R677" s="46"/>
      <c r="S677" s="500"/>
      <c r="T677" s="46"/>
      <c r="U677" s="46"/>
    </row>
    <row r="678" spans="1:21" ht="18.75" hidden="1" x14ac:dyDescent="0.25">
      <c r="A678" s="225"/>
      <c r="B678" s="160"/>
      <c r="C678" s="160"/>
      <c r="D678" s="200"/>
      <c r="E678" s="200"/>
      <c r="F678" s="200"/>
      <c r="G678" s="43"/>
      <c r="H678" s="138" t="s">
        <v>46</v>
      </c>
      <c r="I678" s="498">
        <f ca="1">IFERROR(__xludf.DUMMYFUNCTION("IMPORTRANGE(""https://docs.google.com/spreadsheets/d/1eHaY18a8A9IcSdp1K8H6x8fbOy06t2VsZHhMHf-1x7Y/edit?usp=sharing"",""แผน!IP82"")"),0)</f>
        <v>0</v>
      </c>
      <c r="J678" s="37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t="shared" ref="K678:K679" ca="1" si="412">IF(I678&gt;0,J678*100/I678,0)</f>
        <v>0</v>
      </c>
      <c r="L678" s="841"/>
      <c r="M678" s="46"/>
      <c r="N678" s="500"/>
      <c r="O678" s="46"/>
      <c r="P678" s="46"/>
      <c r="Q678" s="500"/>
      <c r="R678" s="46"/>
      <c r="S678" s="500"/>
      <c r="T678" s="46"/>
      <c r="U678" s="46"/>
    </row>
    <row r="679" spans="1:21" ht="18.75" hidden="1" x14ac:dyDescent="0.25">
      <c r="A679" s="225"/>
      <c r="B679" s="160"/>
      <c r="C679" s="160"/>
      <c r="D679" s="200"/>
      <c r="E679" s="271" t="s">
        <v>257</v>
      </c>
      <c r="F679" s="200"/>
      <c r="G679" s="43"/>
      <c r="H679" s="138" t="s">
        <v>35</v>
      </c>
      <c r="I679" s="498">
        <f ca="1">IFERROR(__xludf.DUMMYFUNCTION("IMPORTRANGE(""https://docs.google.com/spreadsheets/d/1eHaY18a8A9IcSdp1K8H6x8fbOy06t2VsZHhMHf-1x7Y/edit?usp=sharing"",""แผน!IQ82"")"),0)</f>
        <v>0</v>
      </c>
      <c r="J679" s="37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t="shared" ca="1" si="412"/>
        <v>0</v>
      </c>
      <c r="L679" s="591"/>
      <c r="M679" s="46"/>
      <c r="N679" s="500"/>
      <c r="O679" s="46"/>
      <c r="P679" s="46"/>
      <c r="Q679" s="46"/>
      <c r="R679" s="46"/>
      <c r="S679" s="500"/>
      <c r="T679" s="46"/>
      <c r="U679" s="46"/>
    </row>
    <row r="680" spans="1:21" ht="18.75" hidden="1" x14ac:dyDescent="0.25">
      <c r="A680" s="225"/>
      <c r="B680" s="160"/>
      <c r="C680" s="160"/>
      <c r="D680" s="200"/>
      <c r="E680" s="200"/>
      <c r="F680" s="200"/>
      <c r="G680" s="43"/>
      <c r="H680" s="138" t="s">
        <v>34</v>
      </c>
      <c r="I680" s="194"/>
      <c r="J680" s="37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841"/>
      <c r="M680" s="46"/>
      <c r="N680" s="500"/>
      <c r="O680" s="46"/>
      <c r="P680" s="46"/>
      <c r="Q680" s="500"/>
      <c r="R680" s="46"/>
      <c r="S680" s="500"/>
      <c r="T680" s="46"/>
      <c r="U680" s="46"/>
    </row>
    <row r="681" spans="1:21" ht="18.75" hidden="1" x14ac:dyDescent="0.25">
      <c r="A681" s="225"/>
      <c r="B681" s="160"/>
      <c r="C681" s="160"/>
      <c r="D681" s="200"/>
      <c r="E681" s="200"/>
      <c r="F681" s="200"/>
      <c r="G681" s="43"/>
      <c r="H681" s="138" t="s">
        <v>46</v>
      </c>
      <c r="I681" s="498">
        <f ca="1">IFERROR(__xludf.DUMMYFUNCTION("IMPORTRANGE(""https://docs.google.com/spreadsheets/d/1eHaY18a8A9IcSdp1K8H6x8fbOy06t2VsZHhMHf-1x7Y/edit?usp=sharing"",""แผน!IR82"")"),0)</f>
        <v>0</v>
      </c>
      <c r="J681" s="37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t="shared" ref="K681:K682" ca="1" si="413">IF(I681&gt;0,J681*100/I681,0)</f>
        <v>0</v>
      </c>
      <c r="L681" s="841"/>
      <c r="M681" s="46"/>
      <c r="N681" s="500"/>
      <c r="O681" s="46"/>
      <c r="P681" s="46"/>
      <c r="Q681" s="500"/>
      <c r="R681" s="46"/>
      <c r="S681" s="500"/>
      <c r="T681" s="46"/>
      <c r="U681" s="46"/>
    </row>
    <row r="682" spans="1:21" ht="19.5" hidden="1" x14ac:dyDescent="0.3">
      <c r="A682" s="225"/>
      <c r="B682" s="160"/>
      <c r="C682" s="160"/>
      <c r="D682" s="271" t="s">
        <v>258</v>
      </c>
      <c r="E682" s="200"/>
      <c r="F682" s="200"/>
      <c r="G682" s="43"/>
      <c r="H682" s="493" t="s">
        <v>46</v>
      </c>
      <c r="I682" s="499">
        <f ca="1">IFERROR(__xludf.DUMMYFUNCTION("IMPORTRANGE(""https://docs.google.com/spreadsheets/d/1eHaY18a8A9IcSdp1K8H6x8fbOy06t2VsZHhMHf-1x7Y/edit?usp=sharing"",""แผน!IS82"")"),0)</f>
        <v>0</v>
      </c>
      <c r="J682" s="371">
        <f>J685+J688</f>
        <v>0</v>
      </c>
      <c r="K682" s="133">
        <f t="shared" ca="1" si="413"/>
        <v>0</v>
      </c>
      <c r="L682" s="591"/>
      <c r="M682" s="46"/>
      <c r="N682" s="500"/>
      <c r="O682" s="46"/>
      <c r="P682" s="46"/>
      <c r="Q682" s="46"/>
      <c r="R682" s="46"/>
      <c r="S682" s="500"/>
      <c r="T682" s="46"/>
      <c r="U682" s="46"/>
    </row>
    <row r="683" spans="1:21" ht="18.75" hidden="1" x14ac:dyDescent="0.25">
      <c r="A683" s="225"/>
      <c r="B683" s="160"/>
      <c r="C683" s="160"/>
      <c r="D683" s="200"/>
      <c r="E683" s="271" t="s">
        <v>259</v>
      </c>
      <c r="F683" s="200"/>
      <c r="G683" s="43"/>
      <c r="H683" s="138" t="s">
        <v>35</v>
      </c>
      <c r="I683" s="194"/>
      <c r="J683" s="169">
        <v>0</v>
      </c>
      <c r="K683" s="46"/>
      <c r="L683" s="841"/>
      <c r="M683" s="46"/>
      <c r="N683" s="500"/>
      <c r="O683" s="46"/>
      <c r="P683" s="46"/>
      <c r="Q683" s="500"/>
      <c r="R683" s="46"/>
      <c r="S683" s="500"/>
      <c r="T683" s="46"/>
      <c r="U683" s="46"/>
    </row>
    <row r="684" spans="1:21" ht="18.75" hidden="1" x14ac:dyDescent="0.25">
      <c r="A684" s="225"/>
      <c r="B684" s="160"/>
      <c r="C684" s="160"/>
      <c r="D684" s="200"/>
      <c r="E684" s="200"/>
      <c r="F684" s="200"/>
      <c r="G684" s="43"/>
      <c r="H684" s="138" t="s">
        <v>34</v>
      </c>
      <c r="I684" s="194"/>
      <c r="J684" s="169">
        <v>0</v>
      </c>
      <c r="K684" s="46"/>
      <c r="L684" s="841"/>
      <c r="M684" s="46"/>
      <c r="N684" s="500"/>
      <c r="O684" s="46"/>
      <c r="P684" s="46"/>
      <c r="Q684" s="500"/>
      <c r="R684" s="46"/>
      <c r="S684" s="500"/>
      <c r="T684" s="46"/>
      <c r="U684" s="46"/>
    </row>
    <row r="685" spans="1:21" ht="18.75" hidden="1" x14ac:dyDescent="0.25">
      <c r="A685" s="225"/>
      <c r="B685" s="160"/>
      <c r="C685" s="160"/>
      <c r="D685" s="200"/>
      <c r="E685" s="200"/>
      <c r="F685" s="200"/>
      <c r="G685" s="43"/>
      <c r="H685" s="138" t="s">
        <v>46</v>
      </c>
      <c r="I685" s="194"/>
      <c r="J685" s="169">
        <v>0</v>
      </c>
      <c r="K685" s="46"/>
      <c r="L685" s="841"/>
      <c r="M685" s="46"/>
      <c r="N685" s="500"/>
      <c r="O685" s="46"/>
      <c r="P685" s="46"/>
      <c r="Q685" s="500"/>
      <c r="R685" s="46"/>
      <c r="S685" s="500"/>
      <c r="T685" s="46"/>
      <c r="U685" s="46"/>
    </row>
    <row r="686" spans="1:21" ht="18.75" hidden="1" x14ac:dyDescent="0.25">
      <c r="A686" s="225"/>
      <c r="B686" s="160"/>
      <c r="C686" s="160"/>
      <c r="D686" s="200"/>
      <c r="E686" s="271" t="s">
        <v>260</v>
      </c>
      <c r="F686" s="200"/>
      <c r="G686" s="43"/>
      <c r="H686" s="138" t="s">
        <v>35</v>
      </c>
      <c r="I686" s="194"/>
      <c r="J686" s="169">
        <v>0</v>
      </c>
      <c r="K686" s="46"/>
      <c r="L686" s="841"/>
      <c r="M686" s="46"/>
      <c r="N686" s="500"/>
      <c r="O686" s="46"/>
      <c r="P686" s="46"/>
      <c r="Q686" s="500"/>
      <c r="R686" s="46"/>
      <c r="S686" s="500"/>
      <c r="T686" s="46"/>
      <c r="U686" s="46"/>
    </row>
    <row r="687" spans="1:21" ht="18.75" hidden="1" x14ac:dyDescent="0.25">
      <c r="A687" s="225"/>
      <c r="B687" s="160"/>
      <c r="C687" s="160"/>
      <c r="D687" s="200"/>
      <c r="E687" s="200"/>
      <c r="F687" s="200"/>
      <c r="G687" s="43"/>
      <c r="H687" s="138" t="s">
        <v>34</v>
      </c>
      <c r="I687" s="194"/>
      <c r="J687" s="169">
        <v>0</v>
      </c>
      <c r="K687" s="46"/>
      <c r="L687" s="841"/>
      <c r="M687" s="46"/>
      <c r="N687" s="500"/>
      <c r="O687" s="46"/>
      <c r="P687" s="46"/>
      <c r="Q687" s="500"/>
      <c r="R687" s="46"/>
      <c r="S687" s="500"/>
      <c r="T687" s="46"/>
      <c r="U687" s="46"/>
    </row>
    <row r="688" spans="1:21" ht="19.5" hidden="1" x14ac:dyDescent="0.3">
      <c r="A688" s="274"/>
      <c r="B688" s="501" t="s">
        <v>261</v>
      </c>
      <c r="C688" s="275"/>
      <c r="D688" s="277"/>
      <c r="E688" s="277"/>
      <c r="F688" s="277"/>
      <c r="G688" s="278"/>
      <c r="H688" s="204" t="s">
        <v>46</v>
      </c>
      <c r="I688" s="374"/>
      <c r="J688" s="378">
        <v>0</v>
      </c>
      <c r="K688" s="4"/>
      <c r="L688" s="842"/>
      <c r="M688" s="4"/>
      <c r="N688" s="502"/>
      <c r="O688" s="4"/>
      <c r="P688" s="4"/>
      <c r="Q688" s="502"/>
      <c r="R688" s="4"/>
      <c r="S688" s="502"/>
      <c r="T688" s="4"/>
      <c r="U688" s="4"/>
    </row>
    <row r="689" spans="1:21" ht="19.5" x14ac:dyDescent="0.3">
      <c r="A689" s="521"/>
      <c r="B689" s="477" t="s">
        <v>262</v>
      </c>
      <c r="C689" s="476"/>
      <c r="D689" s="478"/>
      <c r="E689" s="478"/>
      <c r="F689" s="478"/>
      <c r="G689" s="479"/>
      <c r="H689" s="843" t="s">
        <v>35</v>
      </c>
      <c r="I689" s="844">
        <f t="shared" ref="I689:J689" ca="1" si="414">I707+I709</f>
        <v>3</v>
      </c>
      <c r="J689" s="844">
        <f t="shared" ca="1" si="414"/>
        <v>0</v>
      </c>
      <c r="K689" s="505">
        <f ca="1">IF(I689&gt;0,J689*100/I689,0)</f>
        <v>0</v>
      </c>
      <c r="L689" s="837"/>
      <c r="M689" s="482"/>
      <c r="N689" s="482"/>
      <c r="O689" s="482"/>
      <c r="P689" s="482"/>
      <c r="Q689" s="482"/>
      <c r="R689" s="482"/>
      <c r="S689" s="482"/>
      <c r="T689" s="482"/>
      <c r="U689" s="482"/>
    </row>
    <row r="690" spans="1:21" ht="19.5" x14ac:dyDescent="0.3">
      <c r="A690" s="129"/>
      <c r="B690" s="160"/>
      <c r="C690" s="409" t="s">
        <v>18</v>
      </c>
      <c r="D690" s="838" t="s">
        <v>19</v>
      </c>
      <c r="E690" s="552"/>
      <c r="F690" s="552"/>
      <c r="G690" s="553"/>
      <c r="H690" s="240" t="s">
        <v>14</v>
      </c>
      <c r="I690" s="45"/>
      <c r="J690" s="45"/>
      <c r="K690" s="46"/>
      <c r="L690" s="617">
        <f t="shared" ref="L690:N690" si="415">L691+L692</f>
        <v>0</v>
      </c>
      <c r="M690" s="133">
        <f t="shared" si="415"/>
        <v>0</v>
      </c>
      <c r="N690" s="133">
        <f t="shared" si="415"/>
        <v>0</v>
      </c>
      <c r="O690" s="133">
        <f t="shared" ref="O690:O698" si="416">IF(L690&gt;0,N690*100/L690,0)</f>
        <v>0</v>
      </c>
      <c r="P690" s="133">
        <f t="shared" ref="P690:P698" si="417">IF(M690&gt;0,N690*100/M690,0)</f>
        <v>0</v>
      </c>
      <c r="Q690" s="133">
        <f t="shared" ref="Q690:S690" ca="1" si="418">Q691+Q692</f>
        <v>67330</v>
      </c>
      <c r="R690" s="133">
        <f t="shared" ca="1" si="418"/>
        <v>14378.83</v>
      </c>
      <c r="S690" s="133">
        <f t="shared" ca="1" si="418"/>
        <v>14378.83</v>
      </c>
      <c r="T690" s="133">
        <f t="shared" ref="T690:T698" ca="1" si="419">IF(Q690&gt;0,S690*100/Q690,0)</f>
        <v>21.355755235407692</v>
      </c>
      <c r="U690" s="133">
        <f t="shared" ref="U690:U698" ca="1" si="420">IF(R690&gt;0,S690*100/R690,0)</f>
        <v>100</v>
      </c>
    </row>
    <row r="691" spans="1:21" ht="18.75" hidden="1" x14ac:dyDescent="0.25">
      <c r="A691" s="129"/>
      <c r="B691" s="160"/>
      <c r="C691" s="160"/>
      <c r="D691" s="170"/>
      <c r="E691" s="158" t="s">
        <v>162</v>
      </c>
      <c r="F691" s="200"/>
      <c r="G691" s="43"/>
      <c r="H691" s="161" t="s">
        <v>14</v>
      </c>
      <c r="I691" s="45"/>
      <c r="J691" s="45"/>
      <c r="K691" s="46"/>
      <c r="L691" s="590">
        <f t="shared" ref="L691:N692" si="421">L694+L697</f>
        <v>0</v>
      </c>
      <c r="M691" s="49">
        <f t="shared" si="421"/>
        <v>0</v>
      </c>
      <c r="N691" s="49">
        <f t="shared" si="421"/>
        <v>0</v>
      </c>
      <c r="O691" s="49">
        <f t="shared" si="416"/>
        <v>0</v>
      </c>
      <c r="P691" s="49">
        <f t="shared" si="417"/>
        <v>0</v>
      </c>
      <c r="Q691" s="49">
        <f t="shared" ref="Q691:S692" si="422">Q694+Q697</f>
        <v>0</v>
      </c>
      <c r="R691" s="49">
        <f t="shared" si="422"/>
        <v>0</v>
      </c>
      <c r="S691" s="49">
        <f t="shared" si="422"/>
        <v>0</v>
      </c>
      <c r="T691" s="49">
        <f t="shared" si="419"/>
        <v>0</v>
      </c>
      <c r="U691" s="49">
        <f t="shared" si="420"/>
        <v>0</v>
      </c>
    </row>
    <row r="692" spans="1:21" ht="18.75" hidden="1" x14ac:dyDescent="0.25">
      <c r="A692" s="129"/>
      <c r="B692" s="160"/>
      <c r="C692" s="160"/>
      <c r="D692" s="170"/>
      <c r="E692" s="271" t="s">
        <v>163</v>
      </c>
      <c r="F692" s="200"/>
      <c r="G692" s="43"/>
      <c r="H692" s="135" t="s">
        <v>14</v>
      </c>
      <c r="I692" s="45"/>
      <c r="J692" s="45"/>
      <c r="K692" s="46"/>
      <c r="L692" s="588">
        <f t="shared" si="421"/>
        <v>0</v>
      </c>
      <c r="M692" s="47">
        <f t="shared" si="421"/>
        <v>0</v>
      </c>
      <c r="N692" s="47">
        <f t="shared" si="421"/>
        <v>0</v>
      </c>
      <c r="O692" s="47">
        <f t="shared" si="416"/>
        <v>0</v>
      </c>
      <c r="P692" s="47">
        <f t="shared" si="417"/>
        <v>0</v>
      </c>
      <c r="Q692" s="47">
        <f t="shared" ca="1" si="422"/>
        <v>67330</v>
      </c>
      <c r="R692" s="47">
        <f t="shared" ca="1" si="422"/>
        <v>14378.83</v>
      </c>
      <c r="S692" s="47">
        <f t="shared" ca="1" si="422"/>
        <v>14378.83</v>
      </c>
      <c r="T692" s="47">
        <f t="shared" ca="1" si="419"/>
        <v>21.355755235407692</v>
      </c>
      <c r="U692" s="47">
        <f t="shared" ca="1" si="420"/>
        <v>100</v>
      </c>
    </row>
    <row r="693" spans="1:21" ht="18.75" x14ac:dyDescent="0.25">
      <c r="A693" s="129"/>
      <c r="B693" s="160"/>
      <c r="C693" s="160"/>
      <c r="D693" s="42" t="s">
        <v>22</v>
      </c>
      <c r="E693" s="200"/>
      <c r="F693" s="200"/>
      <c r="G693" s="43"/>
      <c r="H693" s="135" t="s">
        <v>14</v>
      </c>
      <c r="I693" s="136"/>
      <c r="J693" s="136"/>
      <c r="K693" s="137"/>
      <c r="L693" s="588">
        <f t="shared" ref="L693:N693" si="423">L694+L695</f>
        <v>0</v>
      </c>
      <c r="M693" s="47">
        <f t="shared" si="423"/>
        <v>0</v>
      </c>
      <c r="N693" s="47">
        <f t="shared" si="423"/>
        <v>0</v>
      </c>
      <c r="O693" s="47">
        <f t="shared" si="416"/>
        <v>0</v>
      </c>
      <c r="P693" s="47">
        <f t="shared" si="417"/>
        <v>0</v>
      </c>
      <c r="Q693" s="47">
        <f t="shared" ref="Q693:S693" ca="1" si="424">Q694+Q695</f>
        <v>67330</v>
      </c>
      <c r="R693" s="47">
        <f t="shared" ca="1" si="424"/>
        <v>14378.83</v>
      </c>
      <c r="S693" s="47">
        <f t="shared" ca="1" si="424"/>
        <v>14378.83</v>
      </c>
      <c r="T693" s="47">
        <f t="shared" ca="1" si="419"/>
        <v>21.355755235407692</v>
      </c>
      <c r="U693" s="47">
        <f t="shared" ca="1" si="420"/>
        <v>100</v>
      </c>
    </row>
    <row r="694" spans="1:21" ht="18.75" hidden="1" x14ac:dyDescent="0.25">
      <c r="A694" s="129"/>
      <c r="B694" s="160"/>
      <c r="C694" s="160"/>
      <c r="D694" s="170"/>
      <c r="E694" s="158" t="s">
        <v>162</v>
      </c>
      <c r="F694" s="200"/>
      <c r="G694" s="43"/>
      <c r="H694" s="161" t="s">
        <v>14</v>
      </c>
      <c r="I694" s="45"/>
      <c r="J694" s="45"/>
      <c r="K694" s="46"/>
      <c r="L694" s="590">
        <v>0</v>
      </c>
      <c r="M694" s="49">
        <v>0</v>
      </c>
      <c r="N694" s="49">
        <v>0</v>
      </c>
      <c r="O694" s="49">
        <f t="shared" si="416"/>
        <v>0</v>
      </c>
      <c r="P694" s="49">
        <f t="shared" si="417"/>
        <v>0</v>
      </c>
      <c r="Q694" s="49">
        <v>0</v>
      </c>
      <c r="R694" s="49">
        <v>0</v>
      </c>
      <c r="S694" s="49">
        <v>0</v>
      </c>
      <c r="T694" s="49">
        <f t="shared" si="419"/>
        <v>0</v>
      </c>
      <c r="U694" s="49">
        <f t="shared" si="420"/>
        <v>0</v>
      </c>
    </row>
    <row r="695" spans="1:21" ht="18.75" hidden="1" x14ac:dyDescent="0.25">
      <c r="A695" s="129"/>
      <c r="B695" s="160"/>
      <c r="C695" s="160"/>
      <c r="D695" s="170"/>
      <c r="E695" s="271" t="s">
        <v>163</v>
      </c>
      <c r="F695" s="200"/>
      <c r="G695" s="43"/>
      <c r="H695" s="135" t="s">
        <v>14</v>
      </c>
      <c r="I695" s="45"/>
      <c r="J695" s="45"/>
      <c r="K695" s="46"/>
      <c r="L695" s="588">
        <v>0</v>
      </c>
      <c r="M695" s="47">
        <v>0</v>
      </c>
      <c r="N695" s="47">
        <v>0</v>
      </c>
      <c r="O695" s="47">
        <f t="shared" si="416"/>
        <v>0</v>
      </c>
      <c r="P695" s="47">
        <f t="shared" si="417"/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IFERROR(__xludf.DUMMYFUNCTION("IMPORTRANGE(""https://docs.google.com/spreadsheets/d/1ItG2mGa2ceCfYo0BwxsXqNm01IGEUdYcSSLTEv9YCik/edit?usp=sharing"",""เบิกจ่ายกองทุน!M82"")"),14378.83)</f>
        <v>14378.83</v>
      </c>
      <c r="S695" s="47">
        <f ca="1">IFERROR(__xludf.DUMMYFUNCTION("IMPORTRANGE(""https://docs.google.com/spreadsheets/d/1ItG2mGa2ceCfYo0BwxsXqNm01IGEUdYcSSLTEv9YCik/edit?usp=sharing"",""เบิกจ่ายกองทุน!N82"")"),14378.83)</f>
        <v>14378.83</v>
      </c>
      <c r="T695" s="47">
        <f t="shared" ca="1" si="419"/>
        <v>21.355755235407692</v>
      </c>
      <c r="U695" s="47">
        <f t="shared" ca="1" si="420"/>
        <v>100</v>
      </c>
    </row>
    <row r="696" spans="1:21" ht="18.75" x14ac:dyDescent="0.25">
      <c r="A696" s="129"/>
      <c r="B696" s="160"/>
      <c r="C696" s="160"/>
      <c r="D696" s="42" t="s">
        <v>23</v>
      </c>
      <c r="E696" s="200"/>
      <c r="F696" s="200"/>
      <c r="G696" s="43"/>
      <c r="H696" s="138" t="s">
        <v>14</v>
      </c>
      <c r="I696" s="136"/>
      <c r="J696" s="136"/>
      <c r="K696" s="137"/>
      <c r="L696" s="588">
        <f t="shared" ref="L696:N696" si="425">L697+L698</f>
        <v>0</v>
      </c>
      <c r="M696" s="47">
        <f t="shared" si="425"/>
        <v>0</v>
      </c>
      <c r="N696" s="47">
        <f t="shared" si="425"/>
        <v>0</v>
      </c>
      <c r="O696" s="47">
        <f t="shared" si="416"/>
        <v>0</v>
      </c>
      <c r="P696" s="47">
        <f t="shared" si="417"/>
        <v>0</v>
      </c>
      <c r="Q696" s="47">
        <f t="shared" ref="Q696:S696" si="426">Q697+Q698</f>
        <v>0</v>
      </c>
      <c r="R696" s="47">
        <f t="shared" si="426"/>
        <v>0</v>
      </c>
      <c r="S696" s="47">
        <f t="shared" si="426"/>
        <v>0</v>
      </c>
      <c r="T696" s="47">
        <f t="shared" si="419"/>
        <v>0</v>
      </c>
      <c r="U696" s="47">
        <f t="shared" si="420"/>
        <v>0</v>
      </c>
    </row>
    <row r="697" spans="1:21" ht="18.75" hidden="1" x14ac:dyDescent="0.25">
      <c r="A697" s="129"/>
      <c r="B697" s="160"/>
      <c r="C697" s="160"/>
      <c r="D697" s="200"/>
      <c r="E697" s="158" t="s">
        <v>20</v>
      </c>
      <c r="F697" s="200"/>
      <c r="G697" s="43"/>
      <c r="H697" s="161" t="s">
        <v>14</v>
      </c>
      <c r="I697" s="136"/>
      <c r="J697" s="136"/>
      <c r="K697" s="137"/>
      <c r="L697" s="590">
        <v>0</v>
      </c>
      <c r="M697" s="49">
        <v>0</v>
      </c>
      <c r="N697" s="49">
        <v>0</v>
      </c>
      <c r="O697" s="49">
        <f t="shared" si="416"/>
        <v>0</v>
      </c>
      <c r="P697" s="49">
        <f t="shared" si="417"/>
        <v>0</v>
      </c>
      <c r="Q697" s="49">
        <v>0</v>
      </c>
      <c r="R697" s="49">
        <v>0</v>
      </c>
      <c r="S697" s="49">
        <v>0</v>
      </c>
      <c r="T697" s="49">
        <f t="shared" si="419"/>
        <v>0</v>
      </c>
      <c r="U697" s="49">
        <f t="shared" si="420"/>
        <v>0</v>
      </c>
    </row>
    <row r="698" spans="1:21" ht="18.75" hidden="1" x14ac:dyDescent="0.25">
      <c r="A698" s="129"/>
      <c r="B698" s="160"/>
      <c r="C698" s="160"/>
      <c r="D698" s="200"/>
      <c r="E698" s="271" t="s">
        <v>21</v>
      </c>
      <c r="F698" s="200"/>
      <c r="G698" s="43"/>
      <c r="H698" s="138" t="s">
        <v>14</v>
      </c>
      <c r="I698" s="136"/>
      <c r="J698" s="136"/>
      <c r="K698" s="137"/>
      <c r="L698" s="588">
        <v>0</v>
      </c>
      <c r="M698" s="47">
        <v>0</v>
      </c>
      <c r="N698" s="47">
        <v>0</v>
      </c>
      <c r="O698" s="47">
        <f t="shared" si="416"/>
        <v>0</v>
      </c>
      <c r="P698" s="47">
        <f t="shared" si="417"/>
        <v>0</v>
      </c>
      <c r="Q698" s="47">
        <v>0</v>
      </c>
      <c r="R698" s="47">
        <v>0</v>
      </c>
      <c r="S698" s="47">
        <v>0</v>
      </c>
      <c r="T698" s="47">
        <f t="shared" si="419"/>
        <v>0</v>
      </c>
      <c r="U698" s="47">
        <f t="shared" si="420"/>
        <v>0</v>
      </c>
    </row>
    <row r="699" spans="1:21" ht="19.5" x14ac:dyDescent="0.3">
      <c r="A699" s="139"/>
      <c r="B699" s="140"/>
      <c r="C699" s="409" t="s">
        <v>18</v>
      </c>
      <c r="D699" s="618" t="s">
        <v>38</v>
      </c>
      <c r="E699" s="142"/>
      <c r="F699" s="142"/>
      <c r="G699" s="142"/>
      <c r="H699" s="192"/>
      <c r="I699" s="136"/>
      <c r="J699" s="136"/>
      <c r="K699" s="137"/>
      <c r="L699" s="591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25"/>
      <c r="B700" s="160"/>
      <c r="C700" s="160"/>
      <c r="D700" s="170"/>
      <c r="E700" s="145" t="s">
        <v>263</v>
      </c>
      <c r="F700" s="170"/>
      <c r="G700" s="144"/>
      <c r="H700" s="138" t="s">
        <v>264</v>
      </c>
      <c r="I700" s="372">
        <f ca="1">IFERROR(__xludf.DUMMYFUNCTION("IMPORTRANGE(""https://docs.google.com/spreadsheets/d/1eHaY18a8A9IcSdp1K8H6x8fbOy06t2VsZHhMHf-1x7Y/edit?usp=sharing"",""แผน!LC82"")"),0)</f>
        <v>0</v>
      </c>
      <c r="J700" s="169">
        <v>0</v>
      </c>
      <c r="K700" s="154">
        <f t="shared" ref="K700:K710" ca="1" si="427">IF(I700&gt;0,J700*100/I700,0)</f>
        <v>0</v>
      </c>
      <c r="L700" s="619"/>
      <c r="M700" s="137"/>
      <c r="N700" s="46"/>
      <c r="O700" s="137"/>
      <c r="P700" s="137"/>
      <c r="Q700" s="137"/>
      <c r="R700" s="137"/>
      <c r="S700" s="46"/>
      <c r="T700" s="137"/>
      <c r="U700" s="137"/>
    </row>
    <row r="701" spans="1:21" ht="19.5" x14ac:dyDescent="0.3">
      <c r="A701" s="225"/>
      <c r="B701" s="160"/>
      <c r="C701" s="160"/>
      <c r="D701" s="170"/>
      <c r="E701" s="506" t="s">
        <v>265</v>
      </c>
      <c r="F701" s="170"/>
      <c r="G701" s="144"/>
      <c r="H701" s="132" t="s">
        <v>35</v>
      </c>
      <c r="I701" s="371">
        <f t="shared" ref="I701:J701" ca="1" si="428">I703+I705</f>
        <v>3</v>
      </c>
      <c r="J701" s="371">
        <f t="shared" ca="1" si="428"/>
        <v>0</v>
      </c>
      <c r="K701" s="133">
        <f t="shared" ca="1" si="427"/>
        <v>0</v>
      </c>
      <c r="L701" s="619"/>
      <c r="M701" s="137"/>
      <c r="N701" s="137"/>
      <c r="O701" s="137"/>
      <c r="P701" s="137"/>
      <c r="Q701" s="137"/>
      <c r="R701" s="137"/>
      <c r="S701" s="137"/>
      <c r="T701" s="137"/>
      <c r="U701" s="137"/>
    </row>
    <row r="702" spans="1:21" ht="19.5" x14ac:dyDescent="0.3">
      <c r="A702" s="225"/>
      <c r="B702" s="160"/>
      <c r="C702" s="160"/>
      <c r="D702" s="170"/>
      <c r="E702" s="170"/>
      <c r="F702" s="170"/>
      <c r="G702" s="144"/>
      <c r="H702" s="132" t="s">
        <v>46</v>
      </c>
      <c r="I702" s="371">
        <v>0</v>
      </c>
      <c r="J702" s="371">
        <f ca="1">J704+J706</f>
        <v>0</v>
      </c>
      <c r="K702" s="133">
        <f t="shared" si="427"/>
        <v>0</v>
      </c>
      <c r="L702" s="619"/>
      <c r="M702" s="137"/>
      <c r="N702" s="137"/>
      <c r="O702" s="137"/>
      <c r="P702" s="137"/>
      <c r="Q702" s="137"/>
      <c r="R702" s="137"/>
      <c r="S702" s="137"/>
      <c r="T702" s="137"/>
      <c r="U702" s="137"/>
    </row>
    <row r="703" spans="1:21" ht="18.75" x14ac:dyDescent="0.25">
      <c r="A703" s="225"/>
      <c r="B703" s="160"/>
      <c r="C703" s="160"/>
      <c r="D703" s="170"/>
      <c r="E703" s="170"/>
      <c r="F703" s="145" t="s">
        <v>266</v>
      </c>
      <c r="G703" s="144"/>
      <c r="H703" s="138" t="s">
        <v>35</v>
      </c>
      <c r="I703" s="372">
        <f ca="1">IFERROR(__xludf.DUMMYFUNCTION("IMPORTRANGE(""https://docs.google.com/spreadsheets/d/1eHaY18a8A9IcSdp1K8H6x8fbOy06t2VsZHhMHf-1x7Y/edit?usp=sharing"",""แผน!LJ82"")"),0)</f>
        <v>0</v>
      </c>
      <c r="J703" s="37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t="shared" ca="1" si="427"/>
        <v>0</v>
      </c>
      <c r="L703" s="619"/>
      <c r="M703" s="137"/>
      <c r="N703" s="137"/>
      <c r="O703" s="137"/>
      <c r="P703" s="137"/>
      <c r="Q703" s="137"/>
      <c r="R703" s="137"/>
      <c r="S703" s="137"/>
      <c r="T703" s="137"/>
      <c r="U703" s="137"/>
    </row>
    <row r="704" spans="1:21" ht="18.75" x14ac:dyDescent="0.25">
      <c r="A704" s="225"/>
      <c r="B704" s="160"/>
      <c r="C704" s="160"/>
      <c r="D704" s="170"/>
      <c r="E704" s="170"/>
      <c r="F704" s="170"/>
      <c r="G704" s="144"/>
      <c r="H704" s="138" t="s">
        <v>46</v>
      </c>
      <c r="I704" s="372">
        <v>0</v>
      </c>
      <c r="J704" s="37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 t="shared" si="427"/>
        <v>0</v>
      </c>
      <c r="L704" s="619"/>
      <c r="M704" s="137"/>
      <c r="N704" s="137"/>
      <c r="O704" s="137"/>
      <c r="P704" s="137"/>
      <c r="Q704" s="137"/>
      <c r="R704" s="137"/>
      <c r="S704" s="137"/>
      <c r="T704" s="137"/>
      <c r="U704" s="137"/>
    </row>
    <row r="705" spans="1:21" ht="18.75" x14ac:dyDescent="0.25">
      <c r="A705" s="225"/>
      <c r="B705" s="160"/>
      <c r="C705" s="160"/>
      <c r="D705" s="170"/>
      <c r="E705" s="170"/>
      <c r="F705" s="145" t="s">
        <v>267</v>
      </c>
      <c r="G705" s="144"/>
      <c r="H705" s="138" t="s">
        <v>35</v>
      </c>
      <c r="I705" s="372">
        <f ca="1">IFERROR(__xludf.DUMMYFUNCTION("IMPORTRANGE(""https://docs.google.com/spreadsheets/d/1eHaY18a8A9IcSdp1K8H6x8fbOy06t2VsZHhMHf-1x7Y/edit?usp=sharing"",""แผน!LK82"")"),3)</f>
        <v>3</v>
      </c>
      <c r="J705" s="372">
        <f ca="1">IFERROR(__xludf.DUMMYFUNCTION("IMPORTRANGE(""https://docs.google.com/spreadsheets/d/1tdoBKaGub7dwA3U6UFTqxio9LNnvDCQjHKmttSEBsFQ/edit?usp=sharing"",""จัดที่ดิน!AR82"")"),0)</f>
        <v>0</v>
      </c>
      <c r="K705" s="154">
        <f t="shared" ca="1" si="427"/>
        <v>0</v>
      </c>
      <c r="L705" s="619"/>
      <c r="M705" s="137"/>
      <c r="N705" s="137"/>
      <c r="O705" s="137"/>
      <c r="P705" s="137"/>
      <c r="Q705" s="137"/>
      <c r="R705" s="137"/>
      <c r="S705" s="137"/>
      <c r="T705" s="137"/>
      <c r="U705" s="137"/>
    </row>
    <row r="706" spans="1:21" ht="18.75" x14ac:dyDescent="0.25">
      <c r="A706" s="225"/>
      <c r="B706" s="160"/>
      <c r="C706" s="160"/>
      <c r="D706" s="170"/>
      <c r="E706" s="170"/>
      <c r="F706" s="170"/>
      <c r="G706" s="144"/>
      <c r="H706" s="138" t="s">
        <v>46</v>
      </c>
      <c r="I706" s="372">
        <v>0</v>
      </c>
      <c r="J706" s="37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 t="shared" si="427"/>
        <v>0</v>
      </c>
      <c r="L706" s="619"/>
      <c r="M706" s="137"/>
      <c r="N706" s="137"/>
      <c r="O706" s="137"/>
      <c r="P706" s="137"/>
      <c r="Q706" s="137"/>
      <c r="R706" s="137"/>
      <c r="S706" s="137"/>
      <c r="T706" s="137"/>
      <c r="U706" s="137"/>
    </row>
    <row r="707" spans="1:21" ht="18.75" x14ac:dyDescent="0.25">
      <c r="A707" s="225"/>
      <c r="B707" s="160"/>
      <c r="C707" s="160"/>
      <c r="D707" s="170"/>
      <c r="E707" s="145" t="s">
        <v>268</v>
      </c>
      <c r="F707" s="170"/>
      <c r="G707" s="144"/>
      <c r="H707" s="135" t="s">
        <v>35</v>
      </c>
      <c r="I707" s="372">
        <f ca="1">IFERROR(__xludf.DUMMYFUNCTION("IMPORTRANGE(""https://docs.google.com/spreadsheets/d/1eHaY18a8A9IcSdp1K8H6x8fbOy06t2VsZHhMHf-1x7Y/edit?usp=sharing"",""แผน!LJ82"")"),0)</f>
        <v>0</v>
      </c>
      <c r="J707" s="37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t="shared" ca="1" si="427"/>
        <v>0</v>
      </c>
      <c r="L707" s="619"/>
      <c r="M707" s="137"/>
      <c r="N707" s="137"/>
      <c r="O707" s="137"/>
      <c r="P707" s="137"/>
      <c r="Q707" s="137"/>
      <c r="R707" s="137"/>
      <c r="S707" s="137"/>
      <c r="T707" s="137"/>
      <c r="U707" s="137"/>
    </row>
    <row r="708" spans="1:21" ht="18.75" x14ac:dyDescent="0.25">
      <c r="A708" s="225"/>
      <c r="B708" s="160"/>
      <c r="C708" s="160"/>
      <c r="D708" s="170"/>
      <c r="E708" s="507" t="s">
        <v>269</v>
      </c>
      <c r="F708" s="170"/>
      <c r="G708" s="144"/>
      <c r="H708" s="135" t="s">
        <v>46</v>
      </c>
      <c r="I708" s="372">
        <v>0</v>
      </c>
      <c r="J708" s="37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 t="shared" si="427"/>
        <v>0</v>
      </c>
      <c r="L708" s="619"/>
      <c r="M708" s="137"/>
      <c r="N708" s="137"/>
      <c r="O708" s="137"/>
      <c r="P708" s="137"/>
      <c r="Q708" s="137"/>
      <c r="R708" s="137"/>
      <c r="S708" s="137"/>
      <c r="T708" s="137"/>
      <c r="U708" s="137"/>
    </row>
    <row r="709" spans="1:21" ht="18.75" x14ac:dyDescent="0.25">
      <c r="A709" s="225"/>
      <c r="B709" s="160"/>
      <c r="C709" s="160"/>
      <c r="D709" s="200"/>
      <c r="E709" s="271" t="s">
        <v>270</v>
      </c>
      <c r="F709" s="200"/>
      <c r="G709" s="43"/>
      <c r="H709" s="189" t="s">
        <v>35</v>
      </c>
      <c r="I709" s="372">
        <f ca="1">IFERROR(__xludf.DUMMYFUNCTION("IMPORTRANGE(""https://docs.google.com/spreadsheets/d/1eHaY18a8A9IcSdp1K8H6x8fbOy06t2VsZHhMHf-1x7Y/edit?usp=sharing"",""แผน!LK82"")"),3)</f>
        <v>3</v>
      </c>
      <c r="J709" s="37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t="shared" ca="1" si="427"/>
        <v>0</v>
      </c>
      <c r="L709" s="591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25"/>
      <c r="B710" s="160"/>
      <c r="C710" s="160"/>
      <c r="D710" s="200"/>
      <c r="E710" s="507" t="s">
        <v>271</v>
      </c>
      <c r="F710" s="200"/>
      <c r="G710" s="43"/>
      <c r="H710" s="189" t="s">
        <v>46</v>
      </c>
      <c r="I710" s="372">
        <v>0</v>
      </c>
      <c r="J710" s="37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 t="shared" si="427"/>
        <v>0</v>
      </c>
      <c r="L710" s="591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404"/>
      <c r="B711" s="354"/>
      <c r="C711" s="354"/>
      <c r="D711" s="405"/>
      <c r="E711" s="405"/>
      <c r="F711" s="405"/>
      <c r="G711" s="406"/>
      <c r="H711" s="355"/>
      <c r="I711" s="356"/>
      <c r="J711" s="356"/>
      <c r="K711" s="357"/>
      <c r="L711" s="744"/>
      <c r="M711" s="357"/>
      <c r="N711" s="357"/>
      <c r="O711" s="357"/>
      <c r="P711" s="357"/>
      <c r="Q711" s="357"/>
      <c r="R711" s="357"/>
      <c r="S711" s="357"/>
      <c r="T711" s="357"/>
      <c r="U711" s="357"/>
    </row>
    <row r="712" spans="1:21" ht="19.5" hidden="1" x14ac:dyDescent="0.3">
      <c r="A712" s="521"/>
      <c r="B712" s="508" t="s">
        <v>272</v>
      </c>
      <c r="C712" s="476"/>
      <c r="D712" s="478"/>
      <c r="E712" s="478"/>
      <c r="F712" s="478"/>
      <c r="G712" s="479"/>
      <c r="H712" s="509" t="s">
        <v>46</v>
      </c>
      <c r="I712" s="481"/>
      <c r="J712" s="481">
        <f>J724</f>
        <v>0</v>
      </c>
      <c r="K712" s="510">
        <f>IF(I712&gt;0,J712*100/I712,0)</f>
        <v>0</v>
      </c>
      <c r="L712" s="837"/>
      <c r="M712" s="482"/>
      <c r="N712" s="482"/>
      <c r="O712" s="482"/>
      <c r="P712" s="482"/>
      <c r="Q712" s="482"/>
      <c r="R712" s="482"/>
      <c r="S712" s="482"/>
      <c r="T712" s="482"/>
      <c r="U712" s="482"/>
    </row>
    <row r="713" spans="1:21" ht="19.5" hidden="1" x14ac:dyDescent="0.3">
      <c r="A713" s="521"/>
      <c r="B713" s="508" t="s">
        <v>273</v>
      </c>
      <c r="C713" s="476"/>
      <c r="D713" s="478"/>
      <c r="E713" s="478"/>
      <c r="F713" s="478"/>
      <c r="G713" s="479"/>
      <c r="H713" s="480"/>
      <c r="I713" s="481"/>
      <c r="J713" s="481"/>
      <c r="K713" s="482"/>
      <c r="L713" s="837"/>
      <c r="M713" s="482"/>
      <c r="N713" s="482"/>
      <c r="O713" s="482"/>
      <c r="P713" s="482"/>
      <c r="Q713" s="482"/>
      <c r="R713" s="482"/>
      <c r="S713" s="482"/>
      <c r="T713" s="482"/>
      <c r="U713" s="482"/>
    </row>
    <row r="714" spans="1:21" ht="19.5" hidden="1" x14ac:dyDescent="0.3">
      <c r="A714" s="129"/>
      <c r="B714" s="160"/>
      <c r="C714" s="511" t="s">
        <v>18</v>
      </c>
      <c r="D714" s="825" t="s">
        <v>19</v>
      </c>
      <c r="E714" s="552"/>
      <c r="F714" s="552"/>
      <c r="G714" s="553"/>
      <c r="H714" s="512" t="s">
        <v>14</v>
      </c>
      <c r="I714" s="45"/>
      <c r="J714" s="45"/>
      <c r="K714" s="46"/>
      <c r="L714" s="617">
        <f t="shared" ref="L714:N714" si="429">L715+L716</f>
        <v>0</v>
      </c>
      <c r="M714" s="133">
        <f t="shared" si="429"/>
        <v>0</v>
      </c>
      <c r="N714" s="133">
        <f t="shared" si="429"/>
        <v>0</v>
      </c>
      <c r="O714" s="133">
        <f t="shared" ref="O714:O722" si="430">IF(L714&gt;0,N714*100/L714,0)</f>
        <v>0</v>
      </c>
      <c r="P714" s="133">
        <f t="shared" ref="P714:P722" si="431">IF(M714&gt;0,N714*100/M714,0)</f>
        <v>0</v>
      </c>
      <c r="Q714" s="133">
        <f t="shared" ref="Q714:S714" si="432">Q715+Q716</f>
        <v>0</v>
      </c>
      <c r="R714" s="133">
        <f t="shared" si="432"/>
        <v>0</v>
      </c>
      <c r="S714" s="133">
        <f t="shared" si="432"/>
        <v>0</v>
      </c>
      <c r="T714" s="133">
        <f t="shared" ref="T714:T722" si="433">IF(Q714&gt;0,S714*100/Q714,0)</f>
        <v>0</v>
      </c>
      <c r="U714" s="133">
        <f t="shared" ref="U714:U722" si="434">IF(R714&gt;0,S714*100/R714,0)</f>
        <v>0</v>
      </c>
    </row>
    <row r="715" spans="1:21" ht="18.75" hidden="1" x14ac:dyDescent="0.25">
      <c r="A715" s="129"/>
      <c r="B715" s="160"/>
      <c r="C715" s="160"/>
      <c r="D715" s="170"/>
      <c r="E715" s="158" t="s">
        <v>162</v>
      </c>
      <c r="F715" s="200"/>
      <c r="G715" s="43"/>
      <c r="H715" s="161" t="s">
        <v>14</v>
      </c>
      <c r="I715" s="45"/>
      <c r="J715" s="45"/>
      <c r="K715" s="46"/>
      <c r="L715" s="590">
        <f t="shared" ref="L715:N716" si="435">L718+L721</f>
        <v>0</v>
      </c>
      <c r="M715" s="49">
        <f t="shared" si="435"/>
        <v>0</v>
      </c>
      <c r="N715" s="49">
        <f t="shared" si="435"/>
        <v>0</v>
      </c>
      <c r="O715" s="49">
        <f t="shared" si="430"/>
        <v>0</v>
      </c>
      <c r="P715" s="49">
        <f t="shared" si="431"/>
        <v>0</v>
      </c>
      <c r="Q715" s="49">
        <f t="shared" ref="Q715:S716" si="436">Q718+Q721</f>
        <v>0</v>
      </c>
      <c r="R715" s="49">
        <f t="shared" si="436"/>
        <v>0</v>
      </c>
      <c r="S715" s="49">
        <f t="shared" si="436"/>
        <v>0</v>
      </c>
      <c r="T715" s="49">
        <f t="shared" si="433"/>
        <v>0</v>
      </c>
      <c r="U715" s="49">
        <f t="shared" si="434"/>
        <v>0</v>
      </c>
    </row>
    <row r="716" spans="1:21" ht="18.75" hidden="1" x14ac:dyDescent="0.25">
      <c r="A716" s="129"/>
      <c r="B716" s="160"/>
      <c r="C716" s="160"/>
      <c r="D716" s="170"/>
      <c r="E716" s="158" t="s">
        <v>163</v>
      </c>
      <c r="F716" s="200"/>
      <c r="G716" s="43"/>
      <c r="H716" s="161" t="s">
        <v>14</v>
      </c>
      <c r="I716" s="45"/>
      <c r="J716" s="45"/>
      <c r="K716" s="46"/>
      <c r="L716" s="588">
        <f t="shared" si="435"/>
        <v>0</v>
      </c>
      <c r="M716" s="47">
        <f t="shared" si="435"/>
        <v>0</v>
      </c>
      <c r="N716" s="47">
        <f t="shared" si="435"/>
        <v>0</v>
      </c>
      <c r="O716" s="47">
        <f t="shared" si="430"/>
        <v>0</v>
      </c>
      <c r="P716" s="47">
        <f t="shared" si="431"/>
        <v>0</v>
      </c>
      <c r="Q716" s="47">
        <f t="shared" si="436"/>
        <v>0</v>
      </c>
      <c r="R716" s="47">
        <f t="shared" si="436"/>
        <v>0</v>
      </c>
      <c r="S716" s="47">
        <f t="shared" si="436"/>
        <v>0</v>
      </c>
      <c r="T716" s="47">
        <f t="shared" si="433"/>
        <v>0</v>
      </c>
      <c r="U716" s="47">
        <f t="shared" si="434"/>
        <v>0</v>
      </c>
    </row>
    <row r="717" spans="1:21" ht="19.5" hidden="1" x14ac:dyDescent="0.3">
      <c r="A717" s="129"/>
      <c r="B717" s="160"/>
      <c r="C717" s="160"/>
      <c r="D717" s="651" t="s">
        <v>22</v>
      </c>
      <c r="E717" s="200"/>
      <c r="F717" s="200"/>
      <c r="G717" s="43"/>
      <c r="H717" s="512" t="s">
        <v>14</v>
      </c>
      <c r="I717" s="136"/>
      <c r="J717" s="136"/>
      <c r="K717" s="137"/>
      <c r="L717" s="588">
        <f t="shared" ref="L717:N717" si="437">L718+L719</f>
        <v>0</v>
      </c>
      <c r="M717" s="47">
        <f t="shared" si="437"/>
        <v>0</v>
      </c>
      <c r="N717" s="47">
        <f t="shared" si="437"/>
        <v>0</v>
      </c>
      <c r="O717" s="47">
        <f t="shared" si="430"/>
        <v>0</v>
      </c>
      <c r="P717" s="47">
        <f t="shared" si="431"/>
        <v>0</v>
      </c>
      <c r="Q717" s="47">
        <f t="shared" ref="Q717:S717" si="438">Q718+Q719</f>
        <v>0</v>
      </c>
      <c r="R717" s="47">
        <f t="shared" si="438"/>
        <v>0</v>
      </c>
      <c r="S717" s="47">
        <f t="shared" si="438"/>
        <v>0</v>
      </c>
      <c r="T717" s="47">
        <f t="shared" si="433"/>
        <v>0</v>
      </c>
      <c r="U717" s="47">
        <f t="shared" si="434"/>
        <v>0</v>
      </c>
    </row>
    <row r="718" spans="1:21" ht="18.75" hidden="1" x14ac:dyDescent="0.25">
      <c r="A718" s="129"/>
      <c r="B718" s="160"/>
      <c r="C718" s="160"/>
      <c r="D718" s="170"/>
      <c r="E718" s="158" t="s">
        <v>162</v>
      </c>
      <c r="F718" s="200"/>
      <c r="G718" s="43"/>
      <c r="H718" s="161" t="s">
        <v>14</v>
      </c>
      <c r="I718" s="45"/>
      <c r="J718" s="45"/>
      <c r="K718" s="46"/>
      <c r="L718" s="590">
        <v>0</v>
      </c>
      <c r="M718" s="49">
        <v>0</v>
      </c>
      <c r="N718" s="49">
        <v>0</v>
      </c>
      <c r="O718" s="49">
        <f t="shared" si="430"/>
        <v>0</v>
      </c>
      <c r="P718" s="49">
        <f t="shared" si="431"/>
        <v>0</v>
      </c>
      <c r="Q718" s="49">
        <v>0</v>
      </c>
      <c r="R718" s="49">
        <v>0</v>
      </c>
      <c r="S718" s="49">
        <v>0</v>
      </c>
      <c r="T718" s="49">
        <f t="shared" si="433"/>
        <v>0</v>
      </c>
      <c r="U718" s="49">
        <f t="shared" si="434"/>
        <v>0</v>
      </c>
    </row>
    <row r="719" spans="1:21" ht="18.75" hidden="1" x14ac:dyDescent="0.25">
      <c r="A719" s="129"/>
      <c r="B719" s="160"/>
      <c r="C719" s="160"/>
      <c r="D719" s="170"/>
      <c r="E719" s="158" t="s">
        <v>163</v>
      </c>
      <c r="F719" s="200"/>
      <c r="G719" s="43"/>
      <c r="H719" s="161" t="s">
        <v>14</v>
      </c>
      <c r="I719" s="45"/>
      <c r="J719" s="45"/>
      <c r="K719" s="46"/>
      <c r="L719" s="588">
        <v>0</v>
      </c>
      <c r="M719" s="47">
        <v>0</v>
      </c>
      <c r="N719" s="47">
        <v>0</v>
      </c>
      <c r="O719" s="47">
        <f t="shared" si="430"/>
        <v>0</v>
      </c>
      <c r="P719" s="47">
        <f t="shared" si="431"/>
        <v>0</v>
      </c>
      <c r="Q719" s="47">
        <v>0</v>
      </c>
      <c r="R719" s="47">
        <v>0</v>
      </c>
      <c r="S719" s="47">
        <v>0</v>
      </c>
      <c r="T719" s="47">
        <f t="shared" si="433"/>
        <v>0</v>
      </c>
      <c r="U719" s="47">
        <f t="shared" si="434"/>
        <v>0</v>
      </c>
    </row>
    <row r="720" spans="1:21" ht="19.5" hidden="1" x14ac:dyDescent="0.3">
      <c r="A720" s="129"/>
      <c r="B720" s="160"/>
      <c r="C720" s="160"/>
      <c r="D720" s="651" t="s">
        <v>23</v>
      </c>
      <c r="E720" s="200"/>
      <c r="F720" s="200"/>
      <c r="G720" s="43"/>
      <c r="H720" s="514" t="s">
        <v>14</v>
      </c>
      <c r="I720" s="136"/>
      <c r="J720" s="136"/>
      <c r="K720" s="137"/>
      <c r="L720" s="588">
        <f t="shared" ref="L720:N720" si="439">L721+L722</f>
        <v>0</v>
      </c>
      <c r="M720" s="47">
        <f t="shared" si="439"/>
        <v>0</v>
      </c>
      <c r="N720" s="47">
        <f t="shared" si="439"/>
        <v>0</v>
      </c>
      <c r="O720" s="47">
        <f t="shared" si="430"/>
        <v>0</v>
      </c>
      <c r="P720" s="47">
        <f t="shared" si="431"/>
        <v>0</v>
      </c>
      <c r="Q720" s="47">
        <f t="shared" ref="Q720:S720" si="440">Q721+Q722</f>
        <v>0</v>
      </c>
      <c r="R720" s="47">
        <f t="shared" si="440"/>
        <v>0</v>
      </c>
      <c r="S720" s="47">
        <f t="shared" si="440"/>
        <v>0</v>
      </c>
      <c r="T720" s="47">
        <f t="shared" si="433"/>
        <v>0</v>
      </c>
      <c r="U720" s="47">
        <f t="shared" si="434"/>
        <v>0</v>
      </c>
    </row>
    <row r="721" spans="1:21" ht="18.75" hidden="1" x14ac:dyDescent="0.25">
      <c r="A721" s="129"/>
      <c r="B721" s="160"/>
      <c r="C721" s="160"/>
      <c r="D721" s="200"/>
      <c r="E721" s="158" t="s">
        <v>20</v>
      </c>
      <c r="F721" s="200"/>
      <c r="G721" s="43"/>
      <c r="H721" s="161" t="s">
        <v>14</v>
      </c>
      <c r="I721" s="136"/>
      <c r="J721" s="136"/>
      <c r="K721" s="137"/>
      <c r="L721" s="590">
        <v>0</v>
      </c>
      <c r="M721" s="49">
        <v>0</v>
      </c>
      <c r="N721" s="49">
        <v>0</v>
      </c>
      <c r="O721" s="49">
        <f t="shared" si="430"/>
        <v>0</v>
      </c>
      <c r="P721" s="49">
        <f t="shared" si="431"/>
        <v>0</v>
      </c>
      <c r="Q721" s="49">
        <v>0</v>
      </c>
      <c r="R721" s="49">
        <v>0</v>
      </c>
      <c r="S721" s="49">
        <v>0</v>
      </c>
      <c r="T721" s="49">
        <f t="shared" si="433"/>
        <v>0</v>
      </c>
      <c r="U721" s="49">
        <f t="shared" si="434"/>
        <v>0</v>
      </c>
    </row>
    <row r="722" spans="1:21" ht="18.75" hidden="1" x14ac:dyDescent="0.25">
      <c r="A722" s="129"/>
      <c r="B722" s="160"/>
      <c r="C722" s="160"/>
      <c r="D722" s="200"/>
      <c r="E722" s="158" t="s">
        <v>21</v>
      </c>
      <c r="F722" s="200"/>
      <c r="G722" s="43"/>
      <c r="H722" s="515" t="s">
        <v>14</v>
      </c>
      <c r="I722" s="136"/>
      <c r="J722" s="136"/>
      <c r="K722" s="137"/>
      <c r="L722" s="588">
        <v>0</v>
      </c>
      <c r="M722" s="47">
        <v>0</v>
      </c>
      <c r="N722" s="47">
        <v>0</v>
      </c>
      <c r="O722" s="47">
        <f t="shared" si="430"/>
        <v>0</v>
      </c>
      <c r="P722" s="47">
        <f t="shared" si="431"/>
        <v>0</v>
      </c>
      <c r="Q722" s="47">
        <v>0</v>
      </c>
      <c r="R722" s="47">
        <v>0</v>
      </c>
      <c r="S722" s="47">
        <v>0</v>
      </c>
      <c r="T722" s="47">
        <f t="shared" si="433"/>
        <v>0</v>
      </c>
      <c r="U722" s="47">
        <f t="shared" si="434"/>
        <v>0</v>
      </c>
    </row>
    <row r="723" spans="1:21" ht="19.5" hidden="1" x14ac:dyDescent="0.3">
      <c r="A723" s="139"/>
      <c r="B723" s="140"/>
      <c r="C723" s="511" t="s">
        <v>18</v>
      </c>
      <c r="D723" s="845" t="s">
        <v>38</v>
      </c>
      <c r="E723" s="142"/>
      <c r="F723" s="142"/>
      <c r="G723" s="143"/>
      <c r="H723" s="192"/>
      <c r="I723" s="136"/>
      <c r="J723" s="136"/>
      <c r="K723" s="137"/>
      <c r="L723" s="619"/>
      <c r="M723" s="137"/>
      <c r="N723" s="137"/>
      <c r="O723" s="137"/>
      <c r="P723" s="137"/>
      <c r="Q723" s="137"/>
      <c r="R723" s="137"/>
      <c r="S723" s="137"/>
      <c r="T723" s="137"/>
      <c r="U723" s="137"/>
    </row>
    <row r="724" spans="1:21" ht="18.75" hidden="1" x14ac:dyDescent="0.25">
      <c r="A724" s="225"/>
      <c r="B724" s="160"/>
      <c r="C724" s="160"/>
      <c r="D724" s="200"/>
      <c r="E724" s="158" t="s">
        <v>274</v>
      </c>
      <c r="F724" s="200"/>
      <c r="G724" s="43"/>
      <c r="H724" s="161" t="s">
        <v>46</v>
      </c>
      <c r="I724" s="517">
        <v>0</v>
      </c>
      <c r="J724" s="45"/>
      <c r="K724" s="46"/>
      <c r="L724" s="591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73"/>
      <c r="B725" s="3"/>
      <c r="C725" s="3"/>
      <c r="D725" s="1"/>
      <c r="E725" s="518" t="s">
        <v>275</v>
      </c>
      <c r="F725" s="1"/>
      <c r="G725" s="53"/>
      <c r="H725" s="519" t="s">
        <v>46</v>
      </c>
      <c r="I725" s="520">
        <v>0</v>
      </c>
      <c r="J725" s="55"/>
      <c r="K725" s="4"/>
      <c r="L725" s="592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521"/>
      <c r="B726" s="477" t="s">
        <v>276</v>
      </c>
      <c r="C726" s="476"/>
      <c r="D726" s="478"/>
      <c r="E726" s="478"/>
      <c r="F726" s="478"/>
      <c r="G726" s="479"/>
      <c r="H726" s="503" t="s">
        <v>35</v>
      </c>
      <c r="I726" s="504">
        <f ca="1">IFERROR(__xludf.DUMMYFUNCTION("IMPORTRANGE(""https://docs.google.com/spreadsheets/d/1eHaY18a8A9IcSdp1K8H6x8fbOy06t2VsZHhMHf-1x7Y/edit?usp=sharing"",""แผน!GA82"")"),21)</f>
        <v>21</v>
      </c>
      <c r="J726" s="504">
        <f>J742+J746+J749</f>
        <v>21</v>
      </c>
      <c r="K726" s="505">
        <f t="shared" ref="K726:K727" ca="1" si="441">IF(I726&gt;0,J726*100/I726,0)</f>
        <v>100</v>
      </c>
      <c r="L726" s="837"/>
      <c r="M726" s="482"/>
      <c r="N726" s="482"/>
      <c r="O726" s="482"/>
      <c r="P726" s="482"/>
      <c r="Q726" s="482"/>
      <c r="R726" s="482"/>
      <c r="S726" s="482"/>
      <c r="T726" s="482"/>
      <c r="U726" s="482"/>
    </row>
    <row r="727" spans="1:21" ht="19.5" x14ac:dyDescent="0.3">
      <c r="A727" s="521"/>
      <c r="B727" s="476"/>
      <c r="C727" s="476"/>
      <c r="D727" s="478"/>
      <c r="E727" s="478"/>
      <c r="F727" s="478"/>
      <c r="G727" s="479"/>
      <c r="H727" s="503" t="s">
        <v>46</v>
      </c>
      <c r="I727" s="504">
        <f ca="1">IFERROR(__xludf.DUMMYFUNCTION("IMPORTRANGE(""https://docs.google.com/spreadsheets/d/1eHaY18a8A9IcSdp1K8H6x8fbOy06t2VsZHhMHf-1x7Y/edit?usp=sharing"",""แผน!FZ82"")"),200)</f>
        <v>200</v>
      </c>
      <c r="J727" s="504">
        <f>J752+J755</f>
        <v>200</v>
      </c>
      <c r="K727" s="505">
        <f t="shared" ca="1" si="441"/>
        <v>100</v>
      </c>
      <c r="L727" s="837"/>
      <c r="M727" s="482"/>
      <c r="N727" s="482"/>
      <c r="O727" s="482"/>
      <c r="P727" s="482"/>
      <c r="Q727" s="482"/>
      <c r="R727" s="482"/>
      <c r="S727" s="482"/>
      <c r="T727" s="482"/>
      <c r="U727" s="482"/>
    </row>
    <row r="728" spans="1:21" ht="19.5" x14ac:dyDescent="0.3">
      <c r="A728" s="129"/>
      <c r="B728" s="160"/>
      <c r="C728" s="409" t="s">
        <v>18</v>
      </c>
      <c r="D728" s="838" t="s">
        <v>19</v>
      </c>
      <c r="E728" s="552"/>
      <c r="F728" s="552"/>
      <c r="G728" s="553"/>
      <c r="H728" s="240" t="s">
        <v>14</v>
      </c>
      <c r="I728" s="45"/>
      <c r="J728" s="45"/>
      <c r="K728" s="46"/>
      <c r="L728" s="617">
        <f t="shared" ref="L728:N728" si="442">L729+L730</f>
        <v>0</v>
      </c>
      <c r="M728" s="133">
        <f t="shared" si="442"/>
        <v>0</v>
      </c>
      <c r="N728" s="133">
        <f t="shared" si="442"/>
        <v>0</v>
      </c>
      <c r="O728" s="133">
        <f t="shared" ref="O728:O736" si="443">IF(L728&gt;0,N728*100/L728,0)</f>
        <v>0</v>
      </c>
      <c r="P728" s="133">
        <f t="shared" ref="P728:P736" si="444">IF(M728&gt;0,N728*100/M728,0)</f>
        <v>0</v>
      </c>
      <c r="Q728" s="133">
        <f t="shared" ref="Q728:S728" ca="1" si="445">Q729+Q730</f>
        <v>175994</v>
      </c>
      <c r="R728" s="133">
        <f t="shared" ca="1" si="445"/>
        <v>159830</v>
      </c>
      <c r="S728" s="133">
        <f t="shared" ca="1" si="445"/>
        <v>136830</v>
      </c>
      <c r="T728" s="133">
        <f t="shared" ref="T728:T736" ca="1" si="446">IF(Q728&gt;0,S728*100/Q728,0)</f>
        <v>77.746968646658402</v>
      </c>
      <c r="U728" s="133">
        <f t="shared" ref="U728:U736" ca="1" si="447">IF(R728&gt;0,S728*100/R728,0)</f>
        <v>85.609710317212034</v>
      </c>
    </row>
    <row r="729" spans="1:21" ht="18.75" hidden="1" x14ac:dyDescent="0.25">
      <c r="A729" s="129"/>
      <c r="B729" s="160"/>
      <c r="C729" s="160"/>
      <c r="D729" s="170"/>
      <c r="E729" s="158" t="s">
        <v>162</v>
      </c>
      <c r="F729" s="200"/>
      <c r="G729" s="43"/>
      <c r="H729" s="161" t="s">
        <v>14</v>
      </c>
      <c r="I729" s="45"/>
      <c r="J729" s="45"/>
      <c r="K729" s="46"/>
      <c r="L729" s="590">
        <f t="shared" ref="L729:N730" si="448">L732+L735</f>
        <v>0</v>
      </c>
      <c r="M729" s="49">
        <f t="shared" si="448"/>
        <v>0</v>
      </c>
      <c r="N729" s="49">
        <f t="shared" si="448"/>
        <v>0</v>
      </c>
      <c r="O729" s="49">
        <f t="shared" si="443"/>
        <v>0</v>
      </c>
      <c r="P729" s="49">
        <f t="shared" si="444"/>
        <v>0</v>
      </c>
      <c r="Q729" s="49">
        <f t="shared" ref="Q729:S730" si="449">Q732+Q735</f>
        <v>0</v>
      </c>
      <c r="R729" s="49">
        <f t="shared" si="449"/>
        <v>0</v>
      </c>
      <c r="S729" s="49">
        <f t="shared" si="449"/>
        <v>0</v>
      </c>
      <c r="T729" s="49">
        <f t="shared" si="446"/>
        <v>0</v>
      </c>
      <c r="U729" s="49">
        <f t="shared" si="447"/>
        <v>0</v>
      </c>
    </row>
    <row r="730" spans="1:21" ht="18.75" hidden="1" x14ac:dyDescent="0.25">
      <c r="A730" s="129"/>
      <c r="B730" s="160"/>
      <c r="C730" s="160"/>
      <c r="D730" s="170"/>
      <c r="E730" s="271" t="s">
        <v>163</v>
      </c>
      <c r="F730" s="200"/>
      <c r="G730" s="43"/>
      <c r="H730" s="135" t="s">
        <v>14</v>
      </c>
      <c r="I730" s="45"/>
      <c r="J730" s="45"/>
      <c r="K730" s="46"/>
      <c r="L730" s="588">
        <f t="shared" si="448"/>
        <v>0</v>
      </c>
      <c r="M730" s="47">
        <f t="shared" si="448"/>
        <v>0</v>
      </c>
      <c r="N730" s="47">
        <f t="shared" si="448"/>
        <v>0</v>
      </c>
      <c r="O730" s="47">
        <f t="shared" si="443"/>
        <v>0</v>
      </c>
      <c r="P730" s="47">
        <f t="shared" si="444"/>
        <v>0</v>
      </c>
      <c r="Q730" s="47">
        <f t="shared" ca="1" si="449"/>
        <v>175994</v>
      </c>
      <c r="R730" s="47">
        <f t="shared" ca="1" si="449"/>
        <v>159830</v>
      </c>
      <c r="S730" s="47">
        <f t="shared" ca="1" si="449"/>
        <v>136830</v>
      </c>
      <c r="T730" s="47">
        <f t="shared" ca="1" si="446"/>
        <v>77.746968646658402</v>
      </c>
      <c r="U730" s="47">
        <f t="shared" ca="1" si="447"/>
        <v>85.609710317212034</v>
      </c>
    </row>
    <row r="731" spans="1:21" ht="18.75" x14ac:dyDescent="0.25">
      <c r="A731" s="129"/>
      <c r="B731" s="160"/>
      <c r="C731" s="160"/>
      <c r="D731" s="42" t="s">
        <v>22</v>
      </c>
      <c r="E731" s="200"/>
      <c r="F731" s="200"/>
      <c r="G731" s="43"/>
      <c r="H731" s="135" t="s">
        <v>14</v>
      </c>
      <c r="I731" s="136"/>
      <c r="J731" s="136"/>
      <c r="K731" s="137"/>
      <c r="L731" s="588">
        <f t="shared" ref="L731:N731" si="450">L732+L733</f>
        <v>0</v>
      </c>
      <c r="M731" s="47">
        <f t="shared" si="450"/>
        <v>0</v>
      </c>
      <c r="N731" s="47">
        <f t="shared" si="450"/>
        <v>0</v>
      </c>
      <c r="O731" s="47">
        <f t="shared" si="443"/>
        <v>0</v>
      </c>
      <c r="P731" s="47">
        <f t="shared" si="444"/>
        <v>0</v>
      </c>
      <c r="Q731" s="47">
        <f t="shared" ref="Q731:S731" ca="1" si="451">Q732+Q733</f>
        <v>175994</v>
      </c>
      <c r="R731" s="47">
        <f t="shared" ca="1" si="451"/>
        <v>159830</v>
      </c>
      <c r="S731" s="47">
        <f t="shared" ca="1" si="451"/>
        <v>136830</v>
      </c>
      <c r="T731" s="47">
        <f t="shared" ca="1" si="446"/>
        <v>77.746968646658402</v>
      </c>
      <c r="U731" s="47">
        <f t="shared" ca="1" si="447"/>
        <v>85.609710317212034</v>
      </c>
    </row>
    <row r="732" spans="1:21" ht="18.75" hidden="1" x14ac:dyDescent="0.25">
      <c r="A732" s="129"/>
      <c r="B732" s="160"/>
      <c r="C732" s="160"/>
      <c r="D732" s="170"/>
      <c r="E732" s="158" t="s">
        <v>162</v>
      </c>
      <c r="F732" s="200"/>
      <c r="G732" s="43"/>
      <c r="H732" s="161" t="s">
        <v>14</v>
      </c>
      <c r="I732" s="45"/>
      <c r="J732" s="45"/>
      <c r="K732" s="46"/>
      <c r="L732" s="590">
        <v>0</v>
      </c>
      <c r="M732" s="49">
        <v>0</v>
      </c>
      <c r="N732" s="49">
        <v>0</v>
      </c>
      <c r="O732" s="49">
        <f t="shared" si="443"/>
        <v>0</v>
      </c>
      <c r="P732" s="49">
        <f t="shared" si="444"/>
        <v>0</v>
      </c>
      <c r="Q732" s="49">
        <v>0</v>
      </c>
      <c r="R732" s="49">
        <v>0</v>
      </c>
      <c r="S732" s="49">
        <v>0</v>
      </c>
      <c r="T732" s="49">
        <f t="shared" si="446"/>
        <v>0</v>
      </c>
      <c r="U732" s="49">
        <f t="shared" si="447"/>
        <v>0</v>
      </c>
    </row>
    <row r="733" spans="1:21" ht="18.75" hidden="1" x14ac:dyDescent="0.25">
      <c r="A733" s="129"/>
      <c r="B733" s="160"/>
      <c r="C733" s="160"/>
      <c r="D733" s="170"/>
      <c r="E733" s="271" t="s">
        <v>163</v>
      </c>
      <c r="F733" s="200"/>
      <c r="G733" s="43"/>
      <c r="H733" s="135" t="s">
        <v>14</v>
      </c>
      <c r="I733" s="45"/>
      <c r="J733" s="45"/>
      <c r="K733" s="46"/>
      <c r="L733" s="588">
        <v>0</v>
      </c>
      <c r="M733" s="47">
        <v>0</v>
      </c>
      <c r="N733" s="47">
        <v>0</v>
      </c>
      <c r="O733" s="47">
        <f t="shared" si="443"/>
        <v>0</v>
      </c>
      <c r="P733" s="47">
        <f t="shared" si="444"/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IFERROR(__xludf.DUMMYFUNCTION("IMPORTRANGE(""https://docs.google.com/spreadsheets/d/1ItG2mGa2ceCfYo0BwxsXqNm01IGEUdYcSSLTEv9YCik/edit?usp=sharing"",""เบิกจ่ายกองทุน!P82"")"),159830)</f>
        <v>159830</v>
      </c>
      <c r="S733" s="47">
        <f ca="1">IFERROR(__xludf.DUMMYFUNCTION("IMPORTRANGE(""https://docs.google.com/spreadsheets/d/1ItG2mGa2ceCfYo0BwxsXqNm01IGEUdYcSSLTEv9YCik/edit?usp=sharing"",""เบิกจ่ายกองทุน!Q82"")"),136830)</f>
        <v>136830</v>
      </c>
      <c r="T733" s="47">
        <f t="shared" ca="1" si="446"/>
        <v>77.746968646658402</v>
      </c>
      <c r="U733" s="47">
        <f t="shared" ca="1" si="447"/>
        <v>85.609710317212034</v>
      </c>
    </row>
    <row r="734" spans="1:21" ht="18.75" x14ac:dyDescent="0.25">
      <c r="A734" s="129"/>
      <c r="B734" s="160"/>
      <c r="C734" s="160"/>
      <c r="D734" s="42" t="s">
        <v>23</v>
      </c>
      <c r="E734" s="160"/>
      <c r="F734" s="160"/>
      <c r="G734" s="43"/>
      <c r="H734" s="138" t="s">
        <v>14</v>
      </c>
      <c r="I734" s="136"/>
      <c r="J734" s="136"/>
      <c r="K734" s="137"/>
      <c r="L734" s="588">
        <f t="shared" ref="L734:N734" si="452">L735+L736</f>
        <v>0</v>
      </c>
      <c r="M734" s="47">
        <f t="shared" si="452"/>
        <v>0</v>
      </c>
      <c r="N734" s="47">
        <f t="shared" si="452"/>
        <v>0</v>
      </c>
      <c r="O734" s="47">
        <f t="shared" si="443"/>
        <v>0</v>
      </c>
      <c r="P734" s="47">
        <f t="shared" si="444"/>
        <v>0</v>
      </c>
      <c r="Q734" s="47">
        <f t="shared" ref="Q734:S734" si="453">Q735+Q736</f>
        <v>0</v>
      </c>
      <c r="R734" s="47">
        <f t="shared" si="453"/>
        <v>0</v>
      </c>
      <c r="S734" s="47">
        <f t="shared" si="453"/>
        <v>0</v>
      </c>
      <c r="T734" s="47">
        <f t="shared" si="446"/>
        <v>0</v>
      </c>
      <c r="U734" s="47">
        <f t="shared" si="447"/>
        <v>0</v>
      </c>
    </row>
    <row r="735" spans="1:21" ht="18.75" hidden="1" x14ac:dyDescent="0.25">
      <c r="A735" s="129"/>
      <c r="B735" s="160"/>
      <c r="C735" s="160"/>
      <c r="D735" s="160"/>
      <c r="E735" s="511" t="s">
        <v>20</v>
      </c>
      <c r="F735" s="160"/>
      <c r="G735" s="43"/>
      <c r="H735" s="161" t="s">
        <v>14</v>
      </c>
      <c r="I735" s="136"/>
      <c r="J735" s="136"/>
      <c r="K735" s="137"/>
      <c r="L735" s="590">
        <v>0</v>
      </c>
      <c r="M735" s="49">
        <v>0</v>
      </c>
      <c r="N735" s="49">
        <v>0</v>
      </c>
      <c r="O735" s="49">
        <f t="shared" si="443"/>
        <v>0</v>
      </c>
      <c r="P735" s="49">
        <f t="shared" si="444"/>
        <v>0</v>
      </c>
      <c r="Q735" s="49">
        <v>0</v>
      </c>
      <c r="R735" s="49">
        <v>0</v>
      </c>
      <c r="S735" s="49">
        <v>0</v>
      </c>
      <c r="T735" s="49">
        <f t="shared" si="446"/>
        <v>0</v>
      </c>
      <c r="U735" s="49">
        <f t="shared" si="447"/>
        <v>0</v>
      </c>
    </row>
    <row r="736" spans="1:21" ht="18.75" hidden="1" x14ac:dyDescent="0.25">
      <c r="A736" s="129"/>
      <c r="B736" s="160"/>
      <c r="C736" s="160"/>
      <c r="D736" s="160"/>
      <c r="E736" s="496" t="s">
        <v>21</v>
      </c>
      <c r="F736" s="160"/>
      <c r="G736" s="43"/>
      <c r="H736" s="138" t="s">
        <v>14</v>
      </c>
      <c r="I736" s="136"/>
      <c r="J736" s="136"/>
      <c r="K736" s="137"/>
      <c r="L736" s="588">
        <v>0</v>
      </c>
      <c r="M736" s="47">
        <v>0</v>
      </c>
      <c r="N736" s="47">
        <v>0</v>
      </c>
      <c r="O736" s="47">
        <f t="shared" si="443"/>
        <v>0</v>
      </c>
      <c r="P736" s="47">
        <f t="shared" si="444"/>
        <v>0</v>
      </c>
      <c r="Q736" s="47">
        <v>0</v>
      </c>
      <c r="R736" s="47">
        <v>0</v>
      </c>
      <c r="S736" s="47">
        <v>0</v>
      </c>
      <c r="T736" s="47">
        <f t="shared" si="446"/>
        <v>0</v>
      </c>
      <c r="U736" s="47">
        <f t="shared" si="447"/>
        <v>0</v>
      </c>
    </row>
    <row r="737" spans="1:21" ht="19.5" x14ac:dyDescent="0.3">
      <c r="A737" s="139"/>
      <c r="B737" s="140"/>
      <c r="C737" s="409" t="s">
        <v>18</v>
      </c>
      <c r="D737" s="740" t="s">
        <v>38</v>
      </c>
      <c r="E737" s="220"/>
      <c r="F737" s="142"/>
      <c r="G737" s="143"/>
      <c r="H737" s="192"/>
      <c r="I737" s="45"/>
      <c r="J737" s="45"/>
      <c r="K737" s="46"/>
      <c r="L737" s="591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9"/>
      <c r="B738" s="140"/>
      <c r="C738" s="140"/>
      <c r="D738" s="522" t="s">
        <v>121</v>
      </c>
      <c r="E738" s="140"/>
      <c r="F738" s="140"/>
      <c r="G738" s="144"/>
      <c r="H738" s="194"/>
      <c r="I738" s="45"/>
      <c r="J738" s="45"/>
      <c r="K738" s="46"/>
      <c r="L738" s="591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9"/>
      <c r="B739" s="140"/>
      <c r="C739" s="140"/>
      <c r="D739" s="140"/>
      <c r="E739" s="492" t="s">
        <v>277</v>
      </c>
      <c r="F739" s="140"/>
      <c r="G739" s="144"/>
      <c r="H739" s="194"/>
      <c r="I739" s="45"/>
      <c r="J739" s="45"/>
      <c r="K739" s="46"/>
      <c r="L739" s="591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52"/>
      <c r="B740" s="453"/>
      <c r="C740" s="453"/>
      <c r="D740" s="453"/>
      <c r="E740" s="453"/>
      <c r="F740" s="458" t="s">
        <v>278</v>
      </c>
      <c r="G740" s="459"/>
      <c r="H740" s="350" t="s">
        <v>46</v>
      </c>
      <c r="I740" s="351">
        <f ca="1">IFERROR(__xludf.DUMMYFUNCTION("IMPORTRANGE(""https://docs.google.com/spreadsheets/d/1eHaY18a8A9IcSdp1K8H6x8fbOy06t2VsZHhMHf-1x7Y/edit?usp=sharing"",""แผน!GB82"")"),160)</f>
        <v>160</v>
      </c>
      <c r="J740" s="795">
        <v>160</v>
      </c>
      <c r="K740" s="352">
        <f ca="1">IF(I740&gt;0,J740*100/I740,0)</f>
        <v>100</v>
      </c>
      <c r="L740" s="742"/>
      <c r="M740" s="353"/>
      <c r="N740" s="353"/>
      <c r="O740" s="353"/>
      <c r="P740" s="353"/>
      <c r="Q740" s="353"/>
      <c r="R740" s="353"/>
      <c r="S740" s="353"/>
      <c r="T740" s="353"/>
      <c r="U740" s="353"/>
    </row>
    <row r="741" spans="1:21" ht="18.75" x14ac:dyDescent="0.25">
      <c r="A741" s="452"/>
      <c r="B741" s="453"/>
      <c r="C741" s="453"/>
      <c r="D741" s="453"/>
      <c r="E741" s="453"/>
      <c r="F741" s="458" t="s">
        <v>310</v>
      </c>
      <c r="G741" s="459"/>
      <c r="H741" s="350" t="s">
        <v>35</v>
      </c>
      <c r="I741" s="440"/>
      <c r="J741" s="795">
        <v>0</v>
      </c>
      <c r="K741" s="353"/>
      <c r="L741" s="742"/>
      <c r="M741" s="353"/>
      <c r="N741" s="353"/>
      <c r="O741" s="353"/>
      <c r="P741" s="353"/>
      <c r="Q741" s="353"/>
      <c r="R741" s="353"/>
      <c r="S741" s="353"/>
      <c r="T741" s="353"/>
      <c r="U741" s="353"/>
    </row>
    <row r="742" spans="1:21" ht="18.75" x14ac:dyDescent="0.25">
      <c r="A742" s="452"/>
      <c r="B742" s="453"/>
      <c r="C742" s="453"/>
      <c r="D742" s="453"/>
      <c r="E742" s="453"/>
      <c r="F742" s="458" t="s">
        <v>311</v>
      </c>
      <c r="G742" s="459"/>
      <c r="H742" s="350" t="s">
        <v>35</v>
      </c>
      <c r="I742" s="351">
        <f ca="1">IFERROR(__xludf.DUMMYFUNCTION("IMPORTRANGE(""https://docs.google.com/spreadsheets/d/1eHaY18a8A9IcSdp1K8H6x8fbOy06t2VsZHhMHf-1x7Y/edit?usp=sharing"",""แผน!GC82"")"),16)</f>
        <v>16</v>
      </c>
      <c r="J742" s="795">
        <v>16</v>
      </c>
      <c r="K742" s="352">
        <f ca="1">IF(I742&gt;0,J742*100/I742,0)</f>
        <v>100</v>
      </c>
      <c r="L742" s="742"/>
      <c r="M742" s="353"/>
      <c r="N742" s="353"/>
      <c r="O742" s="353"/>
      <c r="P742" s="353"/>
      <c r="Q742" s="353"/>
      <c r="R742" s="353"/>
      <c r="S742" s="353"/>
      <c r="T742" s="353"/>
      <c r="U742" s="353"/>
    </row>
    <row r="743" spans="1:21" ht="18.75" x14ac:dyDescent="0.25">
      <c r="A743" s="452"/>
      <c r="B743" s="453"/>
      <c r="C743" s="453"/>
      <c r="D743" s="453"/>
      <c r="E743" s="458" t="s">
        <v>281</v>
      </c>
      <c r="F743" s="453"/>
      <c r="G743" s="459"/>
      <c r="H743" s="349"/>
      <c r="I743" s="440"/>
      <c r="J743" s="440"/>
      <c r="K743" s="353"/>
      <c r="L743" s="742"/>
      <c r="M743" s="353"/>
      <c r="N743" s="353"/>
      <c r="O743" s="353"/>
      <c r="P743" s="353"/>
      <c r="Q743" s="353"/>
      <c r="R743" s="353"/>
      <c r="S743" s="353"/>
      <c r="T743" s="353"/>
      <c r="U743" s="353"/>
    </row>
    <row r="744" spans="1:21" ht="18.75" x14ac:dyDescent="0.25">
      <c r="A744" s="452"/>
      <c r="B744" s="453"/>
      <c r="C744" s="453"/>
      <c r="D744" s="453"/>
      <c r="E744" s="453"/>
      <c r="F744" s="458" t="s">
        <v>278</v>
      </c>
      <c r="G744" s="459"/>
      <c r="H744" s="350" t="s">
        <v>46</v>
      </c>
      <c r="I744" s="351">
        <f ca="1">IFERROR(__xludf.DUMMYFUNCTION("IMPORTRANGE(""https://docs.google.com/spreadsheets/d/1eHaY18a8A9IcSdp1K8H6x8fbOy06t2VsZHhMHf-1x7Y/edit?usp=sharing"",""แผน!GD82"")"),40)</f>
        <v>40</v>
      </c>
      <c r="J744" s="795">
        <v>40</v>
      </c>
      <c r="K744" s="352">
        <f ca="1">IF(I744&gt;0,J744*100/I744,0)</f>
        <v>100</v>
      </c>
      <c r="L744" s="742"/>
      <c r="M744" s="353"/>
      <c r="N744" s="353"/>
      <c r="O744" s="353"/>
      <c r="P744" s="353"/>
      <c r="Q744" s="353"/>
      <c r="R744" s="353"/>
      <c r="S744" s="353"/>
      <c r="T744" s="353"/>
      <c r="U744" s="353"/>
    </row>
    <row r="745" spans="1:21" ht="18.75" x14ac:dyDescent="0.25">
      <c r="A745" s="452"/>
      <c r="B745" s="453"/>
      <c r="C745" s="453"/>
      <c r="D745" s="453"/>
      <c r="E745" s="453"/>
      <c r="F745" s="458" t="s">
        <v>312</v>
      </c>
      <c r="G745" s="459"/>
      <c r="H745" s="350" t="s">
        <v>35</v>
      </c>
      <c r="I745" s="440"/>
      <c r="J745" s="795">
        <v>0</v>
      </c>
      <c r="K745" s="353"/>
      <c r="L745" s="742"/>
      <c r="M745" s="353"/>
      <c r="N745" s="353"/>
      <c r="O745" s="353"/>
      <c r="P745" s="353"/>
      <c r="Q745" s="353"/>
      <c r="R745" s="353"/>
      <c r="S745" s="353"/>
      <c r="T745" s="353"/>
      <c r="U745" s="353"/>
    </row>
    <row r="746" spans="1:21" ht="18.75" x14ac:dyDescent="0.25">
      <c r="A746" s="452"/>
      <c r="B746" s="453"/>
      <c r="C746" s="453"/>
      <c r="D746" s="453"/>
      <c r="E746" s="453"/>
      <c r="F746" s="458" t="s">
        <v>313</v>
      </c>
      <c r="G746" s="459"/>
      <c r="H746" s="350" t="s">
        <v>35</v>
      </c>
      <c r="I746" s="351">
        <f ca="1">IFERROR(__xludf.DUMMYFUNCTION("IMPORTRANGE(""https://docs.google.com/spreadsheets/d/1eHaY18a8A9IcSdp1K8H6x8fbOy06t2VsZHhMHf-1x7Y/edit?usp=sharing"",""แผน!GE82"")"),4)</f>
        <v>4</v>
      </c>
      <c r="J746" s="795">
        <v>4</v>
      </c>
      <c r="K746" s="352">
        <f ca="1">IF(I746&gt;0,J746*100/I746,0)</f>
        <v>100</v>
      </c>
      <c r="L746" s="742"/>
      <c r="M746" s="353"/>
      <c r="N746" s="353"/>
      <c r="O746" s="353"/>
      <c r="P746" s="353"/>
      <c r="Q746" s="353"/>
      <c r="R746" s="353"/>
      <c r="S746" s="353"/>
      <c r="T746" s="353"/>
      <c r="U746" s="353"/>
    </row>
    <row r="747" spans="1:21" ht="18.75" x14ac:dyDescent="0.25">
      <c r="A747" s="452"/>
      <c r="B747" s="453"/>
      <c r="C747" s="453"/>
      <c r="D747" s="453"/>
      <c r="E747" s="458" t="s">
        <v>284</v>
      </c>
      <c r="F747" s="442"/>
      <c r="G747" s="459"/>
      <c r="H747" s="349"/>
      <c r="I747" s="440"/>
      <c r="J747" s="440"/>
      <c r="K747" s="353"/>
      <c r="L747" s="742"/>
      <c r="M747" s="353"/>
      <c r="N747" s="353"/>
      <c r="O747" s="353"/>
      <c r="P747" s="353"/>
      <c r="Q747" s="353"/>
      <c r="R747" s="353"/>
      <c r="S747" s="353"/>
      <c r="T747" s="353"/>
      <c r="U747" s="353"/>
    </row>
    <row r="748" spans="1:21" ht="18.75" x14ac:dyDescent="0.25">
      <c r="A748" s="452"/>
      <c r="B748" s="453"/>
      <c r="C748" s="453"/>
      <c r="D748" s="453"/>
      <c r="E748" s="453"/>
      <c r="F748" s="458" t="s">
        <v>314</v>
      </c>
      <c r="G748" s="459"/>
      <c r="H748" s="350" t="s">
        <v>35</v>
      </c>
      <c r="I748" s="440"/>
      <c r="J748" s="795">
        <v>0</v>
      </c>
      <c r="K748" s="353"/>
      <c r="L748" s="742"/>
      <c r="M748" s="353"/>
      <c r="N748" s="353"/>
      <c r="O748" s="353"/>
      <c r="P748" s="353"/>
      <c r="Q748" s="353"/>
      <c r="R748" s="353"/>
      <c r="S748" s="353"/>
      <c r="T748" s="353"/>
      <c r="U748" s="353"/>
    </row>
    <row r="749" spans="1:21" ht="18.75" x14ac:dyDescent="0.25">
      <c r="A749" s="452"/>
      <c r="B749" s="453"/>
      <c r="C749" s="453"/>
      <c r="D749" s="453"/>
      <c r="E749" s="453"/>
      <c r="F749" s="458" t="s">
        <v>315</v>
      </c>
      <c r="G749" s="459"/>
      <c r="H749" s="350" t="s">
        <v>35</v>
      </c>
      <c r="I749" s="351">
        <f ca="1">IFERROR(__xludf.DUMMYFUNCTION("IMPORTRANGE(""https://docs.google.com/spreadsheets/d/1eHaY18a8A9IcSdp1K8H6x8fbOy06t2VsZHhMHf-1x7Y/edit?usp=sharing"",""แผน!GF82"")"),1)</f>
        <v>1</v>
      </c>
      <c r="J749" s="795">
        <v>1</v>
      </c>
      <c r="K749" s="352">
        <f ca="1">IF(I749&gt;0,J749*100/I749,0)</f>
        <v>100</v>
      </c>
      <c r="L749" s="742"/>
      <c r="M749" s="353"/>
      <c r="N749" s="353"/>
      <c r="O749" s="353"/>
      <c r="P749" s="353"/>
      <c r="Q749" s="353"/>
      <c r="R749" s="353"/>
      <c r="S749" s="353"/>
      <c r="T749" s="353"/>
      <c r="U749" s="353"/>
    </row>
    <row r="750" spans="1:21" ht="19.5" x14ac:dyDescent="0.3">
      <c r="A750" s="452"/>
      <c r="B750" s="453"/>
      <c r="C750" s="453"/>
      <c r="D750" s="846" t="s">
        <v>50</v>
      </c>
      <c r="E750" s="453"/>
      <c r="F750" s="442"/>
      <c r="G750" s="459"/>
      <c r="H750" s="349"/>
      <c r="I750" s="440"/>
      <c r="J750" s="440"/>
      <c r="K750" s="353"/>
      <c r="L750" s="742"/>
      <c r="M750" s="353"/>
      <c r="N750" s="353"/>
      <c r="O750" s="353"/>
      <c r="P750" s="353"/>
      <c r="Q750" s="353"/>
      <c r="R750" s="353"/>
      <c r="S750" s="353"/>
      <c r="T750" s="353"/>
      <c r="U750" s="353"/>
    </row>
    <row r="751" spans="1:21" ht="18.75" x14ac:dyDescent="0.25">
      <c r="A751" s="452"/>
      <c r="B751" s="453"/>
      <c r="C751" s="453"/>
      <c r="D751" s="453"/>
      <c r="E751" s="458" t="s">
        <v>277</v>
      </c>
      <c r="F751" s="442"/>
      <c r="G751" s="459"/>
      <c r="H751" s="349"/>
      <c r="I751" s="440"/>
      <c r="J751" s="440"/>
      <c r="K751" s="353"/>
      <c r="L751" s="742"/>
      <c r="M751" s="353"/>
      <c r="N751" s="353"/>
      <c r="O751" s="353"/>
      <c r="P751" s="353"/>
      <c r="Q751" s="353"/>
      <c r="R751" s="353"/>
      <c r="S751" s="353"/>
      <c r="T751" s="353"/>
      <c r="U751" s="353"/>
    </row>
    <row r="752" spans="1:21" ht="18.75" x14ac:dyDescent="0.25">
      <c r="A752" s="452"/>
      <c r="B752" s="453"/>
      <c r="C752" s="453"/>
      <c r="D752" s="453"/>
      <c r="E752" s="453"/>
      <c r="F752" s="793" t="s">
        <v>316</v>
      </c>
      <c r="G752" s="459"/>
      <c r="H752" s="350" t="s">
        <v>46</v>
      </c>
      <c r="I752" s="351">
        <f ca="1">IFERROR(__xludf.DUMMYFUNCTION("IMPORTRANGE(""https://docs.google.com/spreadsheets/d/1eHaY18a8A9IcSdp1K8H6x8fbOy06t2VsZHhMHf-1x7Y/edit?usp=sharing"",""แผน!GB82"")"),160)</f>
        <v>160</v>
      </c>
      <c r="J752" s="795">
        <v>160</v>
      </c>
      <c r="K752" s="352">
        <f ca="1">IF(I752&gt;0,J752*100/I752,0)</f>
        <v>100</v>
      </c>
      <c r="L752" s="742"/>
      <c r="M752" s="353"/>
      <c r="N752" s="353"/>
      <c r="O752" s="353"/>
      <c r="P752" s="353"/>
      <c r="Q752" s="353"/>
      <c r="R752" s="353"/>
      <c r="S752" s="353"/>
      <c r="T752" s="353"/>
      <c r="U752" s="353"/>
    </row>
    <row r="753" spans="1:21" ht="18.75" x14ac:dyDescent="0.25">
      <c r="A753" s="452"/>
      <c r="B753" s="453"/>
      <c r="C753" s="453"/>
      <c r="D753" s="453"/>
      <c r="E753" s="453"/>
      <c r="F753" s="793" t="s">
        <v>317</v>
      </c>
      <c r="G753" s="459"/>
      <c r="H753" s="350" t="s">
        <v>46</v>
      </c>
      <c r="I753" s="440"/>
      <c r="J753" s="795">
        <v>0</v>
      </c>
      <c r="K753" s="353"/>
      <c r="L753" s="742"/>
      <c r="M753" s="353"/>
      <c r="N753" s="353"/>
      <c r="O753" s="353"/>
      <c r="P753" s="353"/>
      <c r="Q753" s="353"/>
      <c r="R753" s="353"/>
      <c r="S753" s="353"/>
      <c r="T753" s="353"/>
      <c r="U753" s="353"/>
    </row>
    <row r="754" spans="1:21" ht="18.75" x14ac:dyDescent="0.25">
      <c r="A754" s="452"/>
      <c r="B754" s="453"/>
      <c r="C754" s="453"/>
      <c r="D754" s="453"/>
      <c r="E754" s="458" t="s">
        <v>281</v>
      </c>
      <c r="F754" s="442"/>
      <c r="G754" s="459"/>
      <c r="H754" s="349"/>
      <c r="I754" s="440"/>
      <c r="J754" s="440"/>
      <c r="K754" s="353"/>
      <c r="L754" s="742"/>
      <c r="M754" s="353"/>
      <c r="N754" s="353"/>
      <c r="O754" s="353"/>
      <c r="P754" s="353"/>
      <c r="Q754" s="353"/>
      <c r="R754" s="353"/>
      <c r="S754" s="353"/>
      <c r="T754" s="353"/>
      <c r="U754" s="353"/>
    </row>
    <row r="755" spans="1:21" ht="18.75" x14ac:dyDescent="0.25">
      <c r="A755" s="452"/>
      <c r="B755" s="453"/>
      <c r="C755" s="453"/>
      <c r="D755" s="453"/>
      <c r="E755" s="442"/>
      <c r="F755" s="793" t="s">
        <v>318</v>
      </c>
      <c r="G755" s="459"/>
      <c r="H755" s="350" t="s">
        <v>46</v>
      </c>
      <c r="I755" s="351">
        <f ca="1">IFERROR(__xludf.DUMMYFUNCTION("IMPORTRANGE(""https://docs.google.com/spreadsheets/d/1eHaY18a8A9IcSdp1K8H6x8fbOy06t2VsZHhMHf-1x7Y/edit?usp=sharing"",""แผน!GD82"")"),40)</f>
        <v>40</v>
      </c>
      <c r="J755" s="795">
        <v>40</v>
      </c>
      <c r="K755" s="352">
        <f ca="1">IF(I755&gt;0,J755*100/I755,0)</f>
        <v>100</v>
      </c>
      <c r="L755" s="742"/>
      <c r="M755" s="353"/>
      <c r="N755" s="353"/>
      <c r="O755" s="353"/>
      <c r="P755" s="353"/>
      <c r="Q755" s="353"/>
      <c r="R755" s="353"/>
      <c r="S755" s="353"/>
      <c r="T755" s="353"/>
      <c r="U755" s="353"/>
    </row>
    <row r="756" spans="1:21" ht="18.75" x14ac:dyDescent="0.25">
      <c r="A756" s="452"/>
      <c r="B756" s="453"/>
      <c r="C756" s="453"/>
      <c r="D756" s="453"/>
      <c r="E756" s="442"/>
      <c r="F756" s="793" t="s">
        <v>319</v>
      </c>
      <c r="G756" s="459"/>
      <c r="H756" s="350" t="s">
        <v>46</v>
      </c>
      <c r="I756" s="440"/>
      <c r="J756" s="795">
        <v>0</v>
      </c>
      <c r="K756" s="353"/>
      <c r="L756" s="742"/>
      <c r="M756" s="353"/>
      <c r="N756" s="353"/>
      <c r="O756" s="353"/>
      <c r="P756" s="353"/>
      <c r="Q756" s="353"/>
      <c r="R756" s="353"/>
      <c r="S756" s="353"/>
      <c r="T756" s="353"/>
      <c r="U756" s="353"/>
    </row>
    <row r="757" spans="1:21" ht="18.75" x14ac:dyDescent="0.25">
      <c r="A757" s="171"/>
      <c r="B757" s="172"/>
      <c r="C757" s="172"/>
      <c r="D757" s="172"/>
      <c r="E757" s="173" t="s">
        <v>291</v>
      </c>
      <c r="F757" s="174"/>
      <c r="G757" s="175"/>
      <c r="H757" s="523" t="s">
        <v>35</v>
      </c>
      <c r="I757" s="524"/>
      <c r="J757" s="178">
        <v>0</v>
      </c>
      <c r="K757" s="181"/>
      <c r="L757" s="181"/>
      <c r="M757" s="181"/>
      <c r="N757" s="181"/>
      <c r="O757" s="181"/>
      <c r="P757" s="181"/>
      <c r="Q757" s="181"/>
      <c r="R757" s="181"/>
      <c r="S757" s="181"/>
      <c r="T757" s="181"/>
      <c r="U757" s="181"/>
    </row>
    <row r="758" spans="1:21" ht="19.5" x14ac:dyDescent="0.3">
      <c r="A758" s="521"/>
      <c r="B758" s="477" t="s">
        <v>292</v>
      </c>
      <c r="C758" s="476"/>
      <c r="D758" s="478"/>
      <c r="E758" s="478"/>
      <c r="F758" s="478"/>
      <c r="G758" s="479"/>
      <c r="H758" s="503" t="s">
        <v>35</v>
      </c>
      <c r="I758" s="504">
        <f t="shared" ref="I758:J758" ca="1" si="454">I772</f>
        <v>50</v>
      </c>
      <c r="J758" s="504">
        <f t="shared" si="454"/>
        <v>50</v>
      </c>
      <c r="K758" s="505">
        <f t="shared" ref="K758:K759" ca="1" si="455">IF(I758&gt;0,J758*100/I758,0)</f>
        <v>100</v>
      </c>
      <c r="L758" s="837"/>
      <c r="M758" s="482"/>
      <c r="N758" s="482"/>
      <c r="O758" s="482"/>
      <c r="P758" s="482"/>
      <c r="Q758" s="482"/>
      <c r="R758" s="482"/>
      <c r="S758" s="482"/>
      <c r="T758" s="482"/>
      <c r="U758" s="482"/>
    </row>
    <row r="759" spans="1:21" ht="19.5" x14ac:dyDescent="0.3">
      <c r="A759" s="521"/>
      <c r="B759" s="476"/>
      <c r="C759" s="476"/>
      <c r="D759" s="478"/>
      <c r="E759" s="478"/>
      <c r="F759" s="478"/>
      <c r="G759" s="479"/>
      <c r="H759" s="503" t="s">
        <v>46</v>
      </c>
      <c r="I759" s="504">
        <f t="shared" ref="I759:J759" ca="1" si="456">I774</f>
        <v>100</v>
      </c>
      <c r="J759" s="504">
        <f t="shared" si="456"/>
        <v>100</v>
      </c>
      <c r="K759" s="505">
        <f t="shared" ca="1" si="455"/>
        <v>100</v>
      </c>
      <c r="L759" s="837"/>
      <c r="M759" s="482"/>
      <c r="N759" s="482"/>
      <c r="O759" s="482"/>
      <c r="P759" s="482"/>
      <c r="Q759" s="482"/>
      <c r="R759" s="482"/>
      <c r="S759" s="482"/>
      <c r="T759" s="482"/>
      <c r="U759" s="482"/>
    </row>
    <row r="760" spans="1:21" ht="19.5" x14ac:dyDescent="0.3">
      <c r="A760" s="129"/>
      <c r="B760" s="160"/>
      <c r="C760" s="409" t="s">
        <v>18</v>
      </c>
      <c r="D760" s="838" t="s">
        <v>19</v>
      </c>
      <c r="E760" s="552"/>
      <c r="F760" s="552"/>
      <c r="G760" s="553"/>
      <c r="H760" s="240" t="s">
        <v>14</v>
      </c>
      <c r="I760" s="45"/>
      <c r="J760" s="45"/>
      <c r="K760" s="46"/>
      <c r="L760" s="617">
        <f t="shared" ref="L760:N760" si="457">L761+L762</f>
        <v>0</v>
      </c>
      <c r="M760" s="133">
        <f t="shared" si="457"/>
        <v>0</v>
      </c>
      <c r="N760" s="133">
        <f t="shared" si="457"/>
        <v>0</v>
      </c>
      <c r="O760" s="133">
        <f t="shared" ref="O760:O768" si="458">IF(L760&gt;0,N760*100/L760,0)</f>
        <v>0</v>
      </c>
      <c r="P760" s="133">
        <f t="shared" ref="P760:P768" si="459">IF(M760&gt;0,N760*100/M760,0)</f>
        <v>0</v>
      </c>
      <c r="Q760" s="133">
        <f t="shared" ref="Q760:S760" ca="1" si="460">Q761+Q762</f>
        <v>397800</v>
      </c>
      <c r="R760" s="133">
        <f t="shared" ca="1" si="460"/>
        <v>374850</v>
      </c>
      <c r="S760" s="133">
        <f t="shared" ca="1" si="460"/>
        <v>361850</v>
      </c>
      <c r="T760" s="133">
        <f t="shared" ref="T760:T768" ca="1" si="461">IF(Q760&gt;0,S760*100/Q760,0)</f>
        <v>90.962795374560073</v>
      </c>
      <c r="U760" s="133">
        <f t="shared" ref="U760:U768" ca="1" si="462">IF(R760&gt;0,S760*100/R760,0)</f>
        <v>96.531946111778041</v>
      </c>
    </row>
    <row r="761" spans="1:21" ht="18.75" hidden="1" x14ac:dyDescent="0.25">
      <c r="A761" s="129"/>
      <c r="B761" s="160"/>
      <c r="C761" s="160"/>
      <c r="D761" s="170"/>
      <c r="E761" s="158" t="s">
        <v>162</v>
      </c>
      <c r="F761" s="200"/>
      <c r="G761" s="43"/>
      <c r="H761" s="161" t="s">
        <v>14</v>
      </c>
      <c r="I761" s="45"/>
      <c r="J761" s="45"/>
      <c r="K761" s="46"/>
      <c r="L761" s="590">
        <f t="shared" ref="L761:N762" si="463">L764+L767</f>
        <v>0</v>
      </c>
      <c r="M761" s="49">
        <f t="shared" si="463"/>
        <v>0</v>
      </c>
      <c r="N761" s="49">
        <f t="shared" si="463"/>
        <v>0</v>
      </c>
      <c r="O761" s="49">
        <f t="shared" si="458"/>
        <v>0</v>
      </c>
      <c r="P761" s="49">
        <f t="shared" si="459"/>
        <v>0</v>
      </c>
      <c r="Q761" s="49">
        <f t="shared" ref="Q761:S762" si="464">Q764+Q767</f>
        <v>0</v>
      </c>
      <c r="R761" s="49">
        <f t="shared" si="464"/>
        <v>0</v>
      </c>
      <c r="S761" s="49">
        <f t="shared" si="464"/>
        <v>0</v>
      </c>
      <c r="T761" s="49">
        <f t="shared" si="461"/>
        <v>0</v>
      </c>
      <c r="U761" s="49">
        <f t="shared" si="462"/>
        <v>0</v>
      </c>
    </row>
    <row r="762" spans="1:21" ht="18.75" hidden="1" x14ac:dyDescent="0.25">
      <c r="A762" s="129"/>
      <c r="B762" s="160"/>
      <c r="C762" s="188"/>
      <c r="D762" s="170"/>
      <c r="E762" s="271" t="s">
        <v>163</v>
      </c>
      <c r="F762" s="200"/>
      <c r="G762" s="43"/>
      <c r="H762" s="135" t="s">
        <v>14</v>
      </c>
      <c r="I762" s="45"/>
      <c r="J762" s="45"/>
      <c r="K762" s="46"/>
      <c r="L762" s="588">
        <f t="shared" si="463"/>
        <v>0</v>
      </c>
      <c r="M762" s="47">
        <f t="shared" si="463"/>
        <v>0</v>
      </c>
      <c r="N762" s="47">
        <f t="shared" si="463"/>
        <v>0</v>
      </c>
      <c r="O762" s="47">
        <f t="shared" si="458"/>
        <v>0</v>
      </c>
      <c r="P762" s="47">
        <f t="shared" si="459"/>
        <v>0</v>
      </c>
      <c r="Q762" s="47">
        <f t="shared" ca="1" si="464"/>
        <v>397800</v>
      </c>
      <c r="R762" s="47">
        <f t="shared" ca="1" si="464"/>
        <v>374850</v>
      </c>
      <c r="S762" s="47">
        <f t="shared" ca="1" si="464"/>
        <v>361850</v>
      </c>
      <c r="T762" s="47">
        <f t="shared" ca="1" si="461"/>
        <v>90.962795374560073</v>
      </c>
      <c r="U762" s="47">
        <f t="shared" ca="1" si="462"/>
        <v>96.531946111778041</v>
      </c>
    </row>
    <row r="763" spans="1:21" ht="18.75" x14ac:dyDescent="0.25">
      <c r="A763" s="129"/>
      <c r="B763" s="160"/>
      <c r="C763" s="188"/>
      <c r="D763" s="42" t="s">
        <v>22</v>
      </c>
      <c r="E763" s="200"/>
      <c r="F763" s="200"/>
      <c r="G763" s="43"/>
      <c r="H763" s="135" t="s">
        <v>14</v>
      </c>
      <c r="I763" s="136"/>
      <c r="J763" s="136"/>
      <c r="K763" s="137"/>
      <c r="L763" s="588">
        <f t="shared" ref="L763:N763" si="465">L764+L765</f>
        <v>0</v>
      </c>
      <c r="M763" s="47">
        <f t="shared" si="465"/>
        <v>0</v>
      </c>
      <c r="N763" s="47">
        <f t="shared" si="465"/>
        <v>0</v>
      </c>
      <c r="O763" s="47">
        <f t="shared" si="458"/>
        <v>0</v>
      </c>
      <c r="P763" s="47">
        <f t="shared" si="459"/>
        <v>0</v>
      </c>
      <c r="Q763" s="47">
        <f t="shared" ref="Q763:S763" ca="1" si="466">Q764+Q765</f>
        <v>397800</v>
      </c>
      <c r="R763" s="47">
        <f t="shared" ca="1" si="466"/>
        <v>374850</v>
      </c>
      <c r="S763" s="47">
        <f t="shared" ca="1" si="466"/>
        <v>361850</v>
      </c>
      <c r="T763" s="47">
        <f t="shared" ca="1" si="461"/>
        <v>90.962795374560073</v>
      </c>
      <c r="U763" s="47">
        <f t="shared" ca="1" si="462"/>
        <v>96.531946111778041</v>
      </c>
    </row>
    <row r="764" spans="1:21" ht="18.75" hidden="1" x14ac:dyDescent="0.25">
      <c r="A764" s="129"/>
      <c r="B764" s="160"/>
      <c r="C764" s="188"/>
      <c r="D764" s="170"/>
      <c r="E764" s="158" t="s">
        <v>162</v>
      </c>
      <c r="F764" s="200"/>
      <c r="G764" s="43"/>
      <c r="H764" s="161" t="s">
        <v>14</v>
      </c>
      <c r="I764" s="45"/>
      <c r="J764" s="45"/>
      <c r="K764" s="46"/>
      <c r="L764" s="590">
        <v>0</v>
      </c>
      <c r="M764" s="49">
        <v>0</v>
      </c>
      <c r="N764" s="49">
        <v>0</v>
      </c>
      <c r="O764" s="49">
        <f t="shared" si="458"/>
        <v>0</v>
      </c>
      <c r="P764" s="49">
        <f t="shared" si="459"/>
        <v>0</v>
      </c>
      <c r="Q764" s="49">
        <v>0</v>
      </c>
      <c r="R764" s="49">
        <v>0</v>
      </c>
      <c r="S764" s="49">
        <v>0</v>
      </c>
      <c r="T764" s="49">
        <f t="shared" si="461"/>
        <v>0</v>
      </c>
      <c r="U764" s="49">
        <f t="shared" si="462"/>
        <v>0</v>
      </c>
    </row>
    <row r="765" spans="1:21" ht="18.75" hidden="1" x14ac:dyDescent="0.25">
      <c r="A765" s="129"/>
      <c r="B765" s="160"/>
      <c r="C765" s="188"/>
      <c r="D765" s="170"/>
      <c r="E765" s="271" t="s">
        <v>163</v>
      </c>
      <c r="F765" s="200"/>
      <c r="G765" s="43"/>
      <c r="H765" s="135" t="s">
        <v>14</v>
      </c>
      <c r="I765" s="45"/>
      <c r="J765" s="45"/>
      <c r="K765" s="46"/>
      <c r="L765" s="588">
        <v>0</v>
      </c>
      <c r="M765" s="47">
        <v>0</v>
      </c>
      <c r="N765" s="47">
        <v>0</v>
      </c>
      <c r="O765" s="47">
        <f t="shared" si="458"/>
        <v>0</v>
      </c>
      <c r="P765" s="47">
        <f t="shared" si="459"/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IFERROR(__xludf.DUMMYFUNCTION("IMPORTRANGE(""https://docs.google.com/spreadsheets/d/1ItG2mGa2ceCfYo0BwxsXqNm01IGEUdYcSSLTEv9YCik/edit?usp=sharing"",""เบิกจ่ายกองทุน!AB82"")"),374850)</f>
        <v>374850</v>
      </c>
      <c r="S765" s="47">
        <f ca="1">IFERROR(__xludf.DUMMYFUNCTION("IMPORTRANGE(""https://docs.google.com/spreadsheets/d/1ItG2mGa2ceCfYo0BwxsXqNm01IGEUdYcSSLTEv9YCik/edit?usp=sharing"",""เบิกจ่ายกองทุน!AC82"")"),361850)</f>
        <v>361850</v>
      </c>
      <c r="T765" s="47">
        <f t="shared" ca="1" si="461"/>
        <v>90.962795374560073</v>
      </c>
      <c r="U765" s="47">
        <f t="shared" ca="1" si="462"/>
        <v>96.531946111778041</v>
      </c>
    </row>
    <row r="766" spans="1:21" ht="18.75" x14ac:dyDescent="0.25">
      <c r="A766" s="129"/>
      <c r="B766" s="160"/>
      <c r="C766" s="160"/>
      <c r="D766" s="42" t="s">
        <v>23</v>
      </c>
      <c r="E766" s="160"/>
      <c r="F766" s="200"/>
      <c r="G766" s="43"/>
      <c r="H766" s="138" t="s">
        <v>14</v>
      </c>
      <c r="I766" s="136"/>
      <c r="J766" s="136"/>
      <c r="K766" s="137"/>
      <c r="L766" s="588">
        <f t="shared" ref="L766:N766" si="467">L767+L768</f>
        <v>0</v>
      </c>
      <c r="M766" s="47">
        <f t="shared" si="467"/>
        <v>0</v>
      </c>
      <c r="N766" s="47">
        <f t="shared" si="467"/>
        <v>0</v>
      </c>
      <c r="O766" s="47">
        <f t="shared" si="458"/>
        <v>0</v>
      </c>
      <c r="P766" s="47">
        <f t="shared" si="459"/>
        <v>0</v>
      </c>
      <c r="Q766" s="47">
        <f t="shared" ref="Q766:S766" si="468">Q767+Q768</f>
        <v>0</v>
      </c>
      <c r="R766" s="47">
        <f t="shared" si="468"/>
        <v>0</v>
      </c>
      <c r="S766" s="47">
        <f t="shared" si="468"/>
        <v>0</v>
      </c>
      <c r="T766" s="47">
        <f t="shared" si="461"/>
        <v>0</v>
      </c>
      <c r="U766" s="47">
        <f t="shared" si="462"/>
        <v>0</v>
      </c>
    </row>
    <row r="767" spans="1:21" ht="18.75" hidden="1" x14ac:dyDescent="0.25">
      <c r="A767" s="129"/>
      <c r="B767" s="160"/>
      <c r="C767" s="160"/>
      <c r="D767" s="160"/>
      <c r="E767" s="511" t="s">
        <v>20</v>
      </c>
      <c r="F767" s="200"/>
      <c r="G767" s="43"/>
      <c r="H767" s="161" t="s">
        <v>14</v>
      </c>
      <c r="I767" s="136"/>
      <c r="J767" s="136"/>
      <c r="K767" s="137"/>
      <c r="L767" s="590">
        <v>0</v>
      </c>
      <c r="M767" s="49">
        <v>0</v>
      </c>
      <c r="N767" s="49">
        <v>0</v>
      </c>
      <c r="O767" s="49">
        <f t="shared" si="458"/>
        <v>0</v>
      </c>
      <c r="P767" s="49">
        <f t="shared" si="459"/>
        <v>0</v>
      </c>
      <c r="Q767" s="49">
        <v>0</v>
      </c>
      <c r="R767" s="49">
        <v>0</v>
      </c>
      <c r="S767" s="49">
        <v>0</v>
      </c>
      <c r="T767" s="49">
        <f t="shared" si="461"/>
        <v>0</v>
      </c>
      <c r="U767" s="49">
        <f t="shared" si="462"/>
        <v>0</v>
      </c>
    </row>
    <row r="768" spans="1:21" ht="18.75" hidden="1" x14ac:dyDescent="0.25">
      <c r="A768" s="129"/>
      <c r="B768" s="160"/>
      <c r="C768" s="160"/>
      <c r="D768" s="160"/>
      <c r="E768" s="496" t="s">
        <v>21</v>
      </c>
      <c r="F768" s="200"/>
      <c r="G768" s="43"/>
      <c r="H768" s="138" t="s">
        <v>14</v>
      </c>
      <c r="I768" s="136"/>
      <c r="J768" s="136"/>
      <c r="K768" s="137"/>
      <c r="L768" s="588">
        <v>0</v>
      </c>
      <c r="M768" s="47">
        <v>0</v>
      </c>
      <c r="N768" s="47">
        <v>0</v>
      </c>
      <c r="O768" s="47">
        <f t="shared" si="458"/>
        <v>0</v>
      </c>
      <c r="P768" s="47">
        <f t="shared" si="459"/>
        <v>0</v>
      </c>
      <c r="Q768" s="47">
        <v>0</v>
      </c>
      <c r="R768" s="47">
        <v>0</v>
      </c>
      <c r="S768" s="47">
        <v>0</v>
      </c>
      <c r="T768" s="47">
        <f t="shared" si="461"/>
        <v>0</v>
      </c>
      <c r="U768" s="47">
        <f t="shared" si="462"/>
        <v>0</v>
      </c>
    </row>
    <row r="769" spans="1:21" ht="19.5" x14ac:dyDescent="0.3">
      <c r="A769" s="139"/>
      <c r="B769" s="140"/>
      <c r="C769" s="409" t="s">
        <v>18</v>
      </c>
      <c r="D769" s="839" t="s">
        <v>38</v>
      </c>
      <c r="E769" s="220"/>
      <c r="F769" s="142"/>
      <c r="G769" s="143"/>
      <c r="H769" s="192"/>
      <c r="I769" s="45"/>
      <c r="J769" s="45"/>
      <c r="K769" s="46"/>
      <c r="L769" s="591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9"/>
      <c r="B770" s="140"/>
      <c r="C770" s="140"/>
      <c r="D770" s="526" t="s">
        <v>293</v>
      </c>
      <c r="E770" s="140"/>
      <c r="F770" s="170"/>
      <c r="G770" s="144"/>
      <c r="H770" s="515" t="s">
        <v>35</v>
      </c>
      <c r="I770" s="517">
        <f ca="1">IFERROR(__xludf.DUMMYFUNCTION("IMPORTRANGE(""https://docs.google.com/spreadsheets/d/1eHaY18a8A9IcSdp1K8H6x8fbOy06t2VsZHhMHf-1x7Y/edit?usp=sharing"",""แผน!FI82"")"),1)</f>
        <v>1</v>
      </c>
      <c r="J770" s="517">
        <v>0</v>
      </c>
      <c r="K770" s="49">
        <f ca="1">IF(I770&gt;0,J770*100/I770,0)</f>
        <v>0</v>
      </c>
      <c r="L770" s="591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9"/>
      <c r="B771" s="140"/>
      <c r="C771" s="140"/>
      <c r="D771" s="526" t="s">
        <v>294</v>
      </c>
      <c r="E771" s="140"/>
      <c r="F771" s="170"/>
      <c r="G771" s="144"/>
      <c r="H771" s="192"/>
      <c r="I771" s="45"/>
      <c r="J771" s="45"/>
      <c r="K771" s="46"/>
      <c r="L771" s="591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9"/>
      <c r="B772" s="140"/>
      <c r="C772" s="140"/>
      <c r="D772" s="492" t="s">
        <v>295</v>
      </c>
      <c r="E772" s="140"/>
      <c r="F772" s="170"/>
      <c r="G772" s="144"/>
      <c r="H772" s="138" t="s">
        <v>35</v>
      </c>
      <c r="I772" s="372">
        <f ca="1">IFERROR(__xludf.DUMMYFUNCTION("IMPORTRANGE(""https://docs.google.com/spreadsheets/d/1eHaY18a8A9IcSdp1K8H6x8fbOy06t2VsZHhMHf-1x7Y/edit?usp=sharing"",""แผน!FQ82"")"),50)</f>
        <v>50</v>
      </c>
      <c r="J772" s="169">
        <v>50</v>
      </c>
      <c r="K772" s="47">
        <f ca="1">IF(I772&gt;0,J772*100/I772,0)</f>
        <v>100</v>
      </c>
      <c r="L772" s="591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9"/>
      <c r="B773" s="140"/>
      <c r="C773" s="140"/>
      <c r="D773" s="492" t="s">
        <v>296</v>
      </c>
      <c r="E773" s="140"/>
      <c r="F773" s="170"/>
      <c r="G773" s="144"/>
      <c r="H773" s="192"/>
      <c r="I773" s="45"/>
      <c r="J773" s="45"/>
      <c r="K773" s="46"/>
      <c r="L773" s="591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9"/>
      <c r="B774" s="140"/>
      <c r="C774" s="140"/>
      <c r="D774" s="492" t="s">
        <v>297</v>
      </c>
      <c r="E774" s="140"/>
      <c r="F774" s="170"/>
      <c r="G774" s="144"/>
      <c r="H774" s="138" t="s">
        <v>46</v>
      </c>
      <c r="I774" s="372">
        <f ca="1">IFERROR(__xludf.DUMMYFUNCTION("IMPORTRANGE(""https://docs.google.com/spreadsheets/d/1eHaY18a8A9IcSdp1K8H6x8fbOy06t2VsZHhMHf-1x7Y/edit?usp=sharing"",""แผน!FR82"")"),100)</f>
        <v>100</v>
      </c>
      <c r="J774" s="169">
        <v>100</v>
      </c>
      <c r="K774" s="47">
        <f ca="1">IF(I774&gt;0,J774*100/I774,0)</f>
        <v>100</v>
      </c>
      <c r="L774" s="591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9"/>
      <c r="B775" s="140"/>
      <c r="C775" s="140"/>
      <c r="D775" s="492" t="s">
        <v>50</v>
      </c>
      <c r="E775" s="170"/>
      <c r="F775" s="200"/>
      <c r="G775" s="43"/>
      <c r="H775" s="138" t="s">
        <v>46</v>
      </c>
      <c r="I775" s="372">
        <f ca="1">IFERROR(__xludf.DUMMYFUNCTION("IMPORTRANGE(""https://docs.google.com/spreadsheets/d/1eHaY18a8A9IcSdp1K8H6x8fbOy06t2VsZHhMHf-1x7Y/edit?usp=sharing"",""แผน!FS82"")"),100)</f>
        <v>100</v>
      </c>
      <c r="J775" s="169">
        <v>100</v>
      </c>
      <c r="K775" s="46"/>
      <c r="L775" s="591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74"/>
      <c r="B776" s="275"/>
      <c r="C776" s="275"/>
      <c r="D776" s="275"/>
      <c r="E776" s="277"/>
      <c r="F776" s="277"/>
      <c r="G776" s="53"/>
      <c r="H776" s="204" t="s">
        <v>35</v>
      </c>
      <c r="I776" s="205">
        <f ca="1">IFERROR(__xludf.DUMMYFUNCTION("IMPORTRANGE(""https://docs.google.com/spreadsheets/d/1eHaY18a8A9IcSdp1K8H6x8fbOy06t2VsZHhMHf-1x7Y/edit?usp=sharing"",""แผน!FT82"")"),50)</f>
        <v>50</v>
      </c>
      <c r="J776" s="378">
        <v>50</v>
      </c>
      <c r="K776" s="4"/>
      <c r="L776" s="592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847" t="s">
        <v>298</v>
      </c>
      <c r="B777" s="529"/>
      <c r="C777" s="529"/>
      <c r="D777" s="528"/>
      <c r="E777" s="529"/>
      <c r="F777" s="529"/>
      <c r="G777" s="530"/>
      <c r="H777" s="848" t="str">
        <f ca="1">IFERROR(__xludf.DUMMYFUNCTION("IMPORTRANGE(""https://docs.google.com/spreadsheets/d/1gNPQPjxUj63ZZXIIIm2aX4x3w7PhAZpC9JuXdbpWwUQ/edit?usp=sharing"",""Sheet1!b2"")"),"(ข้อมูล ณ 31 ก.ค. 67)")</f>
        <v>(ข้อมูล ณ 31 ก.ค. 67)</v>
      </c>
      <c r="I777" s="532"/>
      <c r="J777" s="533"/>
      <c r="K777" s="534"/>
      <c r="L777" s="534"/>
      <c r="M777" s="534"/>
      <c r="N777" s="534"/>
      <c r="O777" s="534"/>
      <c r="P777" s="534"/>
      <c r="Q777" s="534"/>
      <c r="R777" s="534"/>
      <c r="S777" s="534"/>
      <c r="T777" s="534"/>
      <c r="U777" s="534"/>
    </row>
    <row r="778" spans="1:21" ht="18.75" x14ac:dyDescent="0.25">
      <c r="A778" s="40"/>
      <c r="B778" s="271" t="s">
        <v>299</v>
      </c>
      <c r="C778" s="200"/>
      <c r="D778" s="160"/>
      <c r="E778" s="200"/>
      <c r="F778" s="200"/>
      <c r="G778" s="43"/>
      <c r="H778" s="44" t="s">
        <v>14</v>
      </c>
      <c r="I778" s="37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372">
        <f ca="1">IFERROR(__xludf.DUMMYFUNCTION("IMPORTRANGE(""https://docs.google.com/spreadsheets/d/10OvvATaaLtwErnr3qtWFcTmtbfpFEt5Bsqel9sXx0uE/edit?usp=sharing"",""งานกองทุน!F82"")"),1689360.59)</f>
        <v>1689360.59</v>
      </c>
      <c r="K778" s="47">
        <f t="shared" ref="K778:K785" ca="1" si="469">IF(I778&gt;0,J778*100/I778,0)</f>
        <v>116.75408672161508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200"/>
      <c r="C779" s="200"/>
      <c r="D779" s="160"/>
      <c r="E779" s="200"/>
      <c r="F779" s="200"/>
      <c r="G779" s="43"/>
      <c r="H779" s="44" t="s">
        <v>35</v>
      </c>
      <c r="I779" s="372">
        <f ca="1">IFERROR(__xludf.DUMMYFUNCTION("IMPORTRANGE(""https://docs.google.com/spreadsheets/d/10OvvATaaLtwErnr3qtWFcTmtbfpFEt5Bsqel9sXx0uE/edit?usp=sharing"",""งานกองทุน!C82"")"),130)</f>
        <v>130</v>
      </c>
      <c r="J779" s="372">
        <f ca="1">IFERROR(__xludf.DUMMYFUNCTION("IMPORTRANGE(""https://docs.google.com/spreadsheets/d/10OvvATaaLtwErnr3qtWFcTmtbfpFEt5Bsqel9sXx0uE/edit?usp=sharing"",""งานกองทุน!E82"")"),125)</f>
        <v>125</v>
      </c>
      <c r="K779" s="47">
        <f t="shared" ca="1" si="469"/>
        <v>96.15384615384616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271" t="s">
        <v>300</v>
      </c>
      <c r="C780" s="200"/>
      <c r="D780" s="160"/>
      <c r="E780" s="200"/>
      <c r="F780" s="200"/>
      <c r="G780" s="43"/>
      <c r="H780" s="44" t="s">
        <v>14</v>
      </c>
      <c r="I780" s="37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372">
        <f ca="1">IFERROR(__xludf.DUMMYFUNCTION("IMPORTRANGE(""https://docs.google.com/spreadsheets/d/10OvvATaaLtwErnr3qtWFcTmtbfpFEt5Bsqel9sXx0uE/edit?usp=sharing"",""งานกองทุน!K82"")"),87904.98)</f>
        <v>87904.98</v>
      </c>
      <c r="K780" s="47">
        <f t="shared" ca="1" si="469"/>
        <v>12.092667672121669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200"/>
      <c r="C781" s="200"/>
      <c r="D781" s="160"/>
      <c r="E781" s="200"/>
      <c r="F781" s="200"/>
      <c r="G781" s="43"/>
      <c r="H781" s="44" t="s">
        <v>35</v>
      </c>
      <c r="I781" s="372">
        <f ca="1">IFERROR(__xludf.DUMMYFUNCTION("IMPORTRANGE(""https://docs.google.com/spreadsheets/d/10OvvATaaLtwErnr3qtWFcTmtbfpFEt5Bsqel9sXx0uE/edit?usp=sharing"",""งานกองทุน!H82"")"),50)</f>
        <v>50</v>
      </c>
      <c r="J781" s="372">
        <f ca="1">IFERROR(__xludf.DUMMYFUNCTION("IMPORTRANGE(""https://docs.google.com/spreadsheets/d/10OvvATaaLtwErnr3qtWFcTmtbfpFEt5Bsqel9sXx0uE/edit?usp=sharing"",""งานกองทุน!J82"")"),29)</f>
        <v>29</v>
      </c>
      <c r="K781" s="47">
        <f t="shared" ca="1" si="469"/>
        <v>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271" t="s">
        <v>301</v>
      </c>
      <c r="C782" s="200"/>
      <c r="D782" s="160"/>
      <c r="E782" s="200"/>
      <c r="F782" s="200"/>
      <c r="G782" s="43"/>
      <c r="H782" s="44" t="s">
        <v>14</v>
      </c>
      <c r="I782" s="372">
        <f ca="1">IFERROR(__xludf.DUMMYFUNCTION("IMPORTRANGE(""https://docs.google.com/spreadsheets/d/10OvvATaaLtwErnr3qtWFcTmtbfpFEt5Bsqel9sXx0uE/edit?usp=sharing"",""งานกองทุน!N82"")"),0)</f>
        <v>0</v>
      </c>
      <c r="J782" s="37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t="shared" ca="1" si="469"/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200"/>
      <c r="C783" s="200"/>
      <c r="D783" s="160"/>
      <c r="E783" s="200"/>
      <c r="F783" s="200"/>
      <c r="G783" s="43"/>
      <c r="H783" s="44" t="s">
        <v>35</v>
      </c>
      <c r="I783" s="372">
        <f ca="1">IFERROR(__xludf.DUMMYFUNCTION("IMPORTRANGE(""https://docs.google.com/spreadsheets/d/10OvvATaaLtwErnr3qtWFcTmtbfpFEt5Bsqel9sXx0uE/edit?usp=sharing"",""งานกองทุน!M82"")"),0)</f>
        <v>0</v>
      </c>
      <c r="J783" s="37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t="shared" ca="1" si="469"/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271" t="s">
        <v>302</v>
      </c>
      <c r="C784" s="200"/>
      <c r="D784" s="160"/>
      <c r="E784" s="200"/>
      <c r="F784" s="200"/>
      <c r="G784" s="43"/>
      <c r="H784" s="44" t="s">
        <v>14</v>
      </c>
      <c r="I784" s="372">
        <f ca="1">IFERROR(__xludf.DUMMYFUNCTION("IMPORTRANGE(""https://docs.google.com/spreadsheets/d/10OvvATaaLtwErnr3qtWFcTmtbfpFEt5Bsqel9sXx0uE/edit?usp=sharing"",""งานกองทุน!S82"")"),1624000)</f>
        <v>1624000</v>
      </c>
      <c r="J784" s="372">
        <f ca="1">IFERROR(__xludf.DUMMYFUNCTION("IMPORTRANGE(""https://docs.google.com/spreadsheets/d/10OvvATaaLtwErnr3qtWFcTmtbfpFEt5Bsqel9sXx0uE/edit?usp=sharing"",""งานกองทุน!U82"")"),1624000)</f>
        <v>1624000</v>
      </c>
      <c r="K784" s="47">
        <f t="shared" ca="1" si="469"/>
        <v>100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205">
        <f ca="1">IFERROR(__xludf.DUMMYFUNCTION("IMPORTRANGE(""https://docs.google.com/spreadsheets/d/10OvvATaaLtwErnr3qtWFcTmtbfpFEt5Bsqel9sXx0uE/edit?usp=sharing"",""งานกองทุน!R82"")"),58)</f>
        <v>58</v>
      </c>
      <c r="J785" s="205">
        <f ca="1">IFERROR(__xludf.DUMMYFUNCTION("IMPORTRANGE(""https://docs.google.com/spreadsheets/d/10OvvATaaLtwErnr3qtWFcTmtbfpFEt5Bsqel9sXx0uE/edit?usp=sharing"",""งานกองทุน!T82"")"),37)</f>
        <v>37</v>
      </c>
      <c r="K785" s="111">
        <f t="shared" ca="1" si="469"/>
        <v>63.793103448275865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7"/>
      <c r="B786" s="167"/>
      <c r="C786" s="167"/>
      <c r="D786" s="167"/>
      <c r="E786" s="167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</row>
    <row r="787" spans="1:21" ht="16.5" x14ac:dyDescent="0.25">
      <c r="A787" s="849" t="s">
        <v>303</v>
      </c>
      <c r="B787" s="167"/>
      <c r="C787" s="167"/>
      <c r="D787" s="167"/>
      <c r="E787" s="167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</row>
    <row r="788" spans="1:21" ht="16.5" x14ac:dyDescent="0.25">
      <c r="A788" s="538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15 ก.ย. 2567</v>
      </c>
      <c r="B788" s="167"/>
      <c r="C788" s="167"/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</row>
    <row r="789" spans="1:21" ht="16.5" x14ac:dyDescent="0.25">
      <c r="A789" s="849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16 ก.ย. 67 เวลา 13.15 น.</v>
      </c>
      <c r="B789" s="167"/>
      <c r="C789" s="167"/>
      <c r="D789" s="167"/>
      <c r="E789" s="167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</row>
  </sheetData>
  <mergeCells count="26">
    <mergeCell ref="D728:G728"/>
    <mergeCell ref="D760:G760"/>
    <mergeCell ref="A1:U1"/>
    <mergeCell ref="A2:U2"/>
    <mergeCell ref="A3:U3"/>
    <mergeCell ref="D493:F493"/>
    <mergeCell ref="D599:G599"/>
    <mergeCell ref="D616:G616"/>
    <mergeCell ref="D642:G642"/>
    <mergeCell ref="D690:G690"/>
    <mergeCell ref="D714:G714"/>
    <mergeCell ref="A7:G7"/>
    <mergeCell ref="A17:G17"/>
    <mergeCell ref="A30:G30"/>
    <mergeCell ref="A56:G56"/>
    <mergeCell ref="B57:G57"/>
    <mergeCell ref="D413:G413"/>
    <mergeCell ref="L4:P4"/>
    <mergeCell ref="Q4:U4"/>
    <mergeCell ref="L5:M5"/>
    <mergeCell ref="N5:P5"/>
    <mergeCell ref="Q5:R5"/>
    <mergeCell ref="S5:U5"/>
    <mergeCell ref="A4:G6"/>
    <mergeCell ref="H4:H6"/>
    <mergeCell ref="I4:K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41" fitToHeight="0" orientation="landscape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2024-09-18T08:45:29Z</dcterms:modified>
</cp:coreProperties>
</file>